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785" activeTab="0"/>
  </bookViews>
  <sheets>
    <sheet name="ПФЭ-3F" sheetId="1" r:id="rId1"/>
    <sheet name="Натур.вычисления" sheetId="2" r:id="rId2"/>
  </sheets>
  <definedNames/>
  <calcPr fullCalcOnLoad="1"/>
</workbook>
</file>

<file path=xl/sharedStrings.xml><?xml version="1.0" encoding="utf-8"?>
<sst xmlns="http://schemas.openxmlformats.org/spreadsheetml/2006/main" count="138" uniqueCount="122">
  <si>
    <t>Работа № 6</t>
  </si>
  <si>
    <t>Программу расчета</t>
  </si>
  <si>
    <t>подготовил Гелевера А.Г.</t>
  </si>
  <si>
    <t>Задание</t>
  </si>
  <si>
    <t xml:space="preserve">произвольных  значений  функции  отклика  как  в  пределах  факторного пространства (+1 ... -1),  так и за его </t>
  </si>
  <si>
    <t xml:space="preserve">пределами  (+1,5 ... -1,5). Следует, однако учитывать, что чем дальше уход за пределы факторного пространства, </t>
  </si>
  <si>
    <t>тем большая погрешность расчетов.  Выполнить анализ адекватности уравнения.</t>
  </si>
  <si>
    <r>
      <t>Таблица 1</t>
    </r>
    <r>
      <rPr>
        <sz val="10"/>
        <color indexed="26"/>
        <rFont val="Arial Cyr"/>
        <family val="2"/>
      </rPr>
      <t xml:space="preserve">. </t>
    </r>
    <r>
      <rPr>
        <sz val="10"/>
        <color indexed="26"/>
        <rFont val="Times New Roman Cyr"/>
        <family val="1"/>
      </rPr>
      <t xml:space="preserve"> </t>
    </r>
    <r>
      <rPr>
        <b/>
        <sz val="10"/>
        <color indexed="26"/>
        <rFont val="Times New Roman Cyr"/>
        <family val="0"/>
      </rPr>
      <t>Исходные данные (ввести в желтые ячейки)</t>
    </r>
  </si>
  <si>
    <t>Факторы</t>
  </si>
  <si>
    <t>Един.</t>
  </si>
  <si>
    <t>Код</t>
  </si>
  <si>
    <t>Уровни варьирования</t>
  </si>
  <si>
    <t>+1</t>
  </si>
  <si>
    <t>Х1</t>
  </si>
  <si>
    <t>Х2</t>
  </si>
  <si>
    <t>№</t>
  </si>
  <si>
    <t>0 Y</t>
  </si>
  <si>
    <r>
      <t>b</t>
    </r>
    <r>
      <rPr>
        <b/>
        <vertAlign val="subscript"/>
        <sz val="11"/>
        <color indexed="26"/>
        <rFont val="Arial Cyr"/>
        <family val="2"/>
      </rPr>
      <t>o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</si>
  <si>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</si>
  <si>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</si>
  <si>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12</t>
    </r>
    <r>
      <rPr>
        <b/>
        <sz val="10"/>
        <color indexed="26"/>
        <rFont val="Arial Cyr"/>
        <family val="2"/>
      </rPr>
      <t xml:space="preserve"> =</t>
    </r>
  </si>
  <si>
    <r>
      <t>F</t>
    </r>
    <r>
      <rPr>
        <b/>
        <vertAlign val="subscript"/>
        <sz val="10"/>
        <color indexed="26"/>
        <rFont val="Arial Cyr"/>
        <family val="2"/>
      </rPr>
      <t>расч</t>
    </r>
    <r>
      <rPr>
        <b/>
        <sz val="10"/>
        <color indexed="26"/>
        <rFont val="Arial Cyr"/>
        <family val="2"/>
      </rPr>
      <t>=</t>
    </r>
  </si>
  <si>
    <r>
      <t>F</t>
    </r>
    <r>
      <rPr>
        <b/>
        <vertAlign val="subscript"/>
        <sz val="10"/>
        <color indexed="26"/>
        <rFont val="Arial Cyr"/>
        <family val="2"/>
      </rPr>
      <t>табл</t>
    </r>
    <r>
      <rPr>
        <b/>
        <sz val="10"/>
        <color indexed="26"/>
        <rFont val="Arial Cyr"/>
        <family val="2"/>
      </rPr>
      <t>=</t>
    </r>
  </si>
  <si>
    <t>Сумма</t>
  </si>
  <si>
    <r>
      <t>S</t>
    </r>
    <r>
      <rPr>
        <vertAlign val="subscript"/>
        <sz val="10"/>
        <rFont val="Arial Cyr"/>
        <family val="2"/>
      </rPr>
      <t>y =</t>
    </r>
  </si>
  <si>
    <r>
      <t>S</t>
    </r>
    <r>
      <rPr>
        <vertAlign val="subscript"/>
        <sz val="10"/>
        <rFont val="Arial Cyr"/>
        <family val="2"/>
      </rPr>
      <t>ад =</t>
    </r>
  </si>
  <si>
    <t>Уравнение регрессии в общем  виде</t>
  </si>
  <si>
    <r>
      <t>Расчет функции отклика уравнения (Y</t>
    </r>
    <r>
      <rPr>
        <b/>
        <u val="single"/>
        <vertAlign val="subscript"/>
        <sz val="10"/>
        <color indexed="26"/>
        <rFont val="Arial Cyr"/>
        <family val="2"/>
      </rPr>
      <t>расч</t>
    </r>
    <r>
      <rPr>
        <b/>
        <u val="single"/>
        <sz val="10"/>
        <color indexed="26"/>
        <rFont val="Arial Cyr"/>
        <family val="2"/>
      </rPr>
      <t>) при любых произвольных</t>
    </r>
  </si>
  <si>
    <t>X1</t>
  </si>
  <si>
    <t>X2</t>
  </si>
  <si>
    <r>
      <t>Значение функции отклика (Y</t>
    </r>
    <r>
      <rPr>
        <b/>
        <i/>
        <vertAlign val="subscript"/>
        <sz val="9.5"/>
        <color indexed="25"/>
        <rFont val="Arial Cyr"/>
        <family val="2"/>
      </rPr>
      <t>расч</t>
    </r>
    <r>
      <rPr>
        <b/>
        <i/>
        <sz val="9.5"/>
        <color indexed="25"/>
        <rFont val="Arial Cyr"/>
        <family val="2"/>
      </rPr>
      <t>) ..................................................................</t>
    </r>
  </si>
  <si>
    <t>Таблица 3</t>
  </si>
  <si>
    <t>Ввести в таблицы 1 и 2 данные задания.  При необходимости ввести исходные данные и в таблицу 3 для расчета</t>
  </si>
  <si>
    <t>Ymax =</t>
  </si>
  <si>
    <t>Ymin =</t>
  </si>
  <si>
    <r>
      <t>Y</t>
    </r>
    <r>
      <rPr>
        <b/>
        <vertAlign val="subscript"/>
        <sz val="10"/>
        <rFont val="Arial Cyr"/>
        <family val="2"/>
      </rPr>
      <t>факт. ВВЕСТИ</t>
    </r>
  </si>
  <si>
    <t xml:space="preserve">      уравнение  -</t>
  </si>
  <si>
    <t>Х3</t>
  </si>
  <si>
    <r>
      <t xml:space="preserve"> Матрица плана                  </t>
    </r>
    <r>
      <rPr>
        <b/>
        <sz val="8"/>
        <color indexed="53"/>
        <rFont val="Arial Cyr"/>
        <family val="2"/>
      </rPr>
      <t>в натуральных  величинах</t>
    </r>
  </si>
  <si>
    <r>
      <t>Y</t>
    </r>
    <r>
      <rPr>
        <b/>
        <vertAlign val="subscript"/>
        <sz val="10"/>
        <rFont val="Arial Cyr"/>
        <family val="2"/>
      </rPr>
      <t xml:space="preserve">расч.        </t>
    </r>
  </si>
  <si>
    <r>
      <t xml:space="preserve"> Матрица плана                </t>
    </r>
    <r>
      <rPr>
        <b/>
        <sz val="8"/>
        <rFont val="Arial Cyr"/>
        <family val="2"/>
      </rPr>
      <t>в кодах</t>
    </r>
  </si>
  <si>
    <r>
      <t>b</t>
    </r>
    <r>
      <rPr>
        <b/>
        <vertAlign val="subscript"/>
        <sz val="11"/>
        <color indexed="26"/>
        <rFont val="Arial Cyr"/>
        <family val="2"/>
      </rPr>
      <t xml:space="preserve">1 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</si>
  <si>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 xml:space="preserve">2 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</si>
  <si>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23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</si>
  <si>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13</t>
    </r>
    <r>
      <rPr>
        <b/>
        <sz val="10"/>
        <color indexed="26"/>
        <rFont val="Arial Cyr"/>
        <family val="2"/>
      </rPr>
      <t xml:space="preserve"> =</t>
    </r>
  </si>
  <si>
    <t xml:space="preserve">        </t>
  </si>
  <si>
    <t xml:space="preserve"> Коэффициенты уравнения регрессии</t>
  </si>
  <si>
    <r>
      <t>Y</t>
    </r>
    <r>
      <rPr>
        <b/>
        <vertAlign val="subscript"/>
        <sz val="11"/>
        <color indexed="12"/>
        <rFont val="Arial Cyr"/>
        <family val="2"/>
      </rPr>
      <t>расч</t>
    </r>
    <r>
      <rPr>
        <b/>
        <sz val="10"/>
        <color indexed="12"/>
        <rFont val="Arial Cyr"/>
        <family val="2"/>
      </rPr>
      <t xml:space="preserve"> = b</t>
    </r>
    <r>
      <rPr>
        <b/>
        <vertAlign val="subscript"/>
        <sz val="11"/>
        <color indexed="12"/>
        <rFont val="Arial Cyr"/>
        <family val="2"/>
      </rPr>
      <t>o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X</t>
    </r>
    <r>
      <rPr>
        <b/>
        <i/>
        <vertAlign val="subscript"/>
        <sz val="11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Х</t>
    </r>
    <r>
      <rPr>
        <b/>
        <vertAlign val="subscript"/>
        <sz val="11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33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33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 xml:space="preserve">2 </t>
    </r>
    <r>
      <rPr>
        <b/>
        <sz val="11"/>
        <color indexed="12"/>
        <rFont val="Arial CYR"/>
        <family val="2"/>
      </rPr>
      <t xml:space="preserve">+ </t>
    </r>
    <r>
      <rPr>
        <b/>
        <sz val="10"/>
        <color indexed="12"/>
        <rFont val="Arial Cyr"/>
        <family val="2"/>
      </rPr>
      <t>b</t>
    </r>
    <r>
      <rPr>
        <b/>
        <vertAlign val="subscript"/>
        <sz val="11"/>
        <color indexed="12"/>
        <rFont val="Arial Cyr"/>
        <family val="2"/>
      </rPr>
      <t>13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23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3</t>
    </r>
  </si>
  <si>
    <r>
      <t>b</t>
    </r>
    <r>
      <rPr>
        <b/>
        <vertAlign val="subscript"/>
        <sz val="11"/>
        <color indexed="26"/>
        <rFont val="Arial Cyr"/>
        <family val="2"/>
      </rPr>
      <t>3</t>
    </r>
    <r>
      <rPr>
        <b/>
        <vertAlign val="subscript"/>
        <sz val="10"/>
        <color indexed="26"/>
        <rFont val="Arial Cyr"/>
        <family val="2"/>
      </rPr>
      <t xml:space="preserve"> 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</si>
  <si>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33</t>
    </r>
    <r>
      <rPr>
        <b/>
        <sz val="10"/>
        <color indexed="26"/>
        <rFont val="Arial Cyr"/>
        <family val="2"/>
      </rPr>
      <t xml:space="preserve"> =</t>
    </r>
  </si>
  <si>
    <t>Математическое планирование эксперимента</t>
  </si>
  <si>
    <r>
      <t>Планы второго порядка (на кубе). Количество факторов -</t>
    </r>
    <r>
      <rPr>
        <b/>
        <sz val="11"/>
        <color indexed="13"/>
        <rFont val="Arial"/>
        <family val="2"/>
      </rPr>
      <t xml:space="preserve"> 3</t>
    </r>
  </si>
  <si>
    <t xml:space="preserve"> в пределах факторного пространства и даже чуть-чуть за пределами (до +1,5...-1,5) </t>
  </si>
  <si>
    <r>
      <t>Ввести</t>
    </r>
    <r>
      <rPr>
        <b/>
        <i/>
        <sz val="9.5"/>
        <rFont val="Arial Cyr"/>
        <family val="2"/>
      </rPr>
      <t xml:space="preserve"> значение </t>
    </r>
    <r>
      <rPr>
        <b/>
        <i/>
        <sz val="9.5"/>
        <color indexed="48"/>
        <rFont val="Arial Cyr"/>
        <family val="2"/>
      </rPr>
      <t>Х1</t>
    </r>
    <r>
      <rPr>
        <b/>
        <i/>
        <sz val="9.5"/>
        <rFont val="Arial Cyr"/>
        <family val="2"/>
      </rPr>
      <t xml:space="preserve"> в натуральных величинах     ..............</t>
    </r>
  </si>
  <si>
    <r>
      <t>Ввести</t>
    </r>
    <r>
      <rPr>
        <b/>
        <i/>
        <sz val="9.5"/>
        <rFont val="Arial Cyr"/>
        <family val="2"/>
      </rPr>
      <t xml:space="preserve"> значение </t>
    </r>
    <r>
      <rPr>
        <b/>
        <i/>
        <sz val="9.5"/>
        <color indexed="48"/>
        <rFont val="Arial Cyr"/>
        <family val="2"/>
      </rPr>
      <t>Х2</t>
    </r>
    <r>
      <rPr>
        <b/>
        <i/>
        <sz val="9.5"/>
        <rFont val="Arial Cyr"/>
        <family val="2"/>
      </rPr>
      <t xml:space="preserve"> в натуральных величинах    ......................</t>
    </r>
  </si>
  <si>
    <r>
      <t>Ввести</t>
    </r>
    <r>
      <rPr>
        <b/>
        <i/>
        <sz val="9.5"/>
        <rFont val="Arial Cyr"/>
        <family val="2"/>
      </rPr>
      <t xml:space="preserve"> значение </t>
    </r>
    <r>
      <rPr>
        <b/>
        <i/>
        <sz val="9.5"/>
        <color indexed="48"/>
        <rFont val="Arial Cyr"/>
        <family val="2"/>
      </rPr>
      <t>Х3</t>
    </r>
    <r>
      <rPr>
        <b/>
        <i/>
        <sz val="9.5"/>
        <rFont val="Arial Cyr"/>
        <family val="2"/>
      </rPr>
      <t xml:space="preserve"> в натуральных величинах    ......................</t>
    </r>
  </si>
  <si>
    <t xml:space="preserve">        ВЫЧИСЛЕНИЕ ПРОИЗВОЛЬНЫХ ЗНАЧЕНИЙ ФУНКЦИИ ОТКЛИКА</t>
  </si>
  <si>
    <t xml:space="preserve">     3-факторного УРАВНЕНИЯ  РЕГРЕССИИ</t>
  </si>
  <si>
    <t xml:space="preserve">          Введите значения факторов</t>
  </si>
  <si>
    <t>Наименование факторов</t>
  </si>
  <si>
    <t>Коды</t>
  </si>
  <si>
    <t>Шаг варьи-рования</t>
  </si>
  <si>
    <t xml:space="preserve">   Введите значения коэффициентов уравнения регрессии</t>
  </si>
  <si>
    <r>
      <t>b</t>
    </r>
    <r>
      <rPr>
        <b/>
        <vertAlign val="subscript"/>
        <sz val="10"/>
        <rFont val="Arial Cyr"/>
        <family val="2"/>
      </rPr>
      <t xml:space="preserve">0 </t>
    </r>
    <r>
      <rPr>
        <b/>
        <sz val="10"/>
        <rFont val="Arial Cyr"/>
        <family val="2"/>
      </rPr>
      <t xml:space="preserve">= </t>
    </r>
  </si>
  <si>
    <r>
      <t>b</t>
    </r>
    <r>
      <rPr>
        <b/>
        <vertAlign val="subscript"/>
        <sz val="10"/>
        <rFont val="Arial Cyr"/>
        <family val="2"/>
      </rPr>
      <t xml:space="preserve">1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</si>
  <si>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11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</si>
  <si>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 xml:space="preserve">12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</si>
  <si>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 xml:space="preserve">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</si>
  <si>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22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</si>
  <si>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>13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</si>
  <si>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</si>
  <si>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>33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</si>
  <si>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>23</t>
    </r>
    <r>
      <rPr>
        <b/>
        <sz val="10"/>
        <rFont val="Arial Cyr"/>
        <family val="2"/>
      </rPr>
      <t xml:space="preserve"> =</t>
    </r>
  </si>
  <si>
    <t>Значение уровня</t>
  </si>
  <si>
    <t>Y</t>
  </si>
  <si>
    <t>Х1...Х3 в кодах</t>
  </si>
  <si>
    <r>
      <t>х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 xml:space="preserve"> У</t>
    </r>
  </si>
  <si>
    <r>
      <t>х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 xml:space="preserve"> У</t>
    </r>
  </si>
  <si>
    <r>
      <t>х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У</t>
    </r>
  </si>
  <si>
    <r>
      <t>х</t>
    </r>
    <r>
      <rPr>
        <vertAlign val="subscript"/>
        <sz val="10"/>
        <rFont val="Arial Cyr"/>
        <family val="2"/>
      </rPr>
      <t>11</t>
    </r>
    <r>
      <rPr>
        <sz val="10"/>
        <rFont val="Arial Cyr"/>
        <family val="0"/>
      </rPr>
      <t xml:space="preserve"> У</t>
    </r>
  </si>
  <si>
    <r>
      <t>х</t>
    </r>
    <r>
      <rPr>
        <vertAlign val="subscript"/>
        <sz val="10"/>
        <rFont val="Arial Cyr"/>
        <family val="2"/>
      </rPr>
      <t>22</t>
    </r>
    <r>
      <rPr>
        <sz val="10"/>
        <rFont val="Arial Cyr"/>
        <family val="0"/>
      </rPr>
      <t xml:space="preserve"> У</t>
    </r>
  </si>
  <si>
    <r>
      <t>х</t>
    </r>
    <r>
      <rPr>
        <vertAlign val="subscript"/>
        <sz val="10"/>
        <rFont val="Arial Cyr"/>
        <family val="2"/>
      </rPr>
      <t>33</t>
    </r>
    <r>
      <rPr>
        <sz val="10"/>
        <rFont val="Arial Cyr"/>
        <family val="0"/>
      </rPr>
      <t xml:space="preserve"> У</t>
    </r>
  </si>
  <si>
    <r>
      <t>х</t>
    </r>
    <r>
      <rPr>
        <vertAlign val="subscript"/>
        <sz val="10"/>
        <rFont val="Arial Cyr"/>
        <family val="2"/>
      </rPr>
      <t>12</t>
    </r>
    <r>
      <rPr>
        <sz val="10"/>
        <rFont val="Arial Cyr"/>
        <family val="0"/>
      </rPr>
      <t xml:space="preserve"> У</t>
    </r>
  </si>
  <si>
    <r>
      <t>х</t>
    </r>
    <r>
      <rPr>
        <vertAlign val="subscript"/>
        <sz val="10"/>
        <rFont val="Arial Cyr"/>
        <family val="2"/>
      </rPr>
      <t>13</t>
    </r>
    <r>
      <rPr>
        <sz val="10"/>
        <rFont val="Arial Cyr"/>
        <family val="0"/>
      </rPr>
      <t xml:space="preserve"> У</t>
    </r>
  </si>
  <si>
    <r>
      <t>х</t>
    </r>
    <r>
      <rPr>
        <vertAlign val="subscript"/>
        <sz val="10"/>
        <rFont val="Arial Cyr"/>
        <family val="2"/>
      </rPr>
      <t>23</t>
    </r>
    <r>
      <rPr>
        <sz val="10"/>
        <rFont val="Arial Cyr"/>
        <family val="0"/>
      </rPr>
      <t xml:space="preserve"> У</t>
    </r>
  </si>
  <si>
    <t>(Расчет выполнен по методике, изложенной в книге "Руководство по подбору состава тяжелеого бетона" - М.: НИИЖБ, 1979,  с.58-85)</t>
  </si>
  <si>
    <r>
      <t>Таблица 2</t>
    </r>
    <r>
      <rPr>
        <sz val="10"/>
        <color indexed="26"/>
        <rFont val="Arial Cyr"/>
        <family val="2"/>
      </rPr>
      <t xml:space="preserve">. </t>
    </r>
    <r>
      <rPr>
        <b/>
        <sz val="9"/>
        <color indexed="26"/>
        <rFont val="Arial Cyr"/>
        <family val="2"/>
      </rPr>
      <t xml:space="preserve"> </t>
    </r>
    <r>
      <rPr>
        <b/>
        <sz val="10"/>
        <color indexed="26"/>
        <rFont val="Times New Roman Cyr"/>
        <family val="1"/>
      </rPr>
      <t>План эксперимента (данные ввести в желтые ячейки)</t>
    </r>
  </si>
  <si>
    <t>№ п/п</t>
  </si>
  <si>
    <t>Значение</t>
  </si>
  <si>
    <t>Коэффициенты   псевдо-2-факторных   уравнений</t>
  </si>
  <si>
    <r>
      <t>b</t>
    </r>
    <r>
      <rPr>
        <b/>
        <vertAlign val="subscript"/>
        <sz val="10"/>
        <rFont val="Arial Cyr"/>
        <family val="2"/>
      </rPr>
      <t>O</t>
    </r>
  </si>
  <si>
    <r>
      <t>b</t>
    </r>
    <r>
      <rPr>
        <b/>
        <vertAlign val="subscript"/>
        <sz val="10"/>
        <rFont val="Arial Cyr"/>
        <family val="2"/>
      </rPr>
      <t>1</t>
    </r>
  </si>
  <si>
    <r>
      <t>b</t>
    </r>
    <r>
      <rPr>
        <b/>
        <vertAlign val="subscript"/>
        <sz val="10"/>
        <rFont val="Arial Cyr"/>
        <family val="2"/>
      </rPr>
      <t>2</t>
    </r>
  </si>
  <si>
    <r>
      <t>b</t>
    </r>
    <r>
      <rPr>
        <b/>
        <vertAlign val="subscript"/>
        <sz val="10"/>
        <rFont val="Arial Cyr"/>
        <family val="2"/>
      </rPr>
      <t>3</t>
    </r>
  </si>
  <si>
    <r>
      <t>b</t>
    </r>
    <r>
      <rPr>
        <b/>
        <vertAlign val="subscript"/>
        <sz val="10"/>
        <rFont val="Arial Cyr"/>
        <family val="2"/>
      </rPr>
      <t>11</t>
    </r>
  </si>
  <si>
    <r>
      <t>b</t>
    </r>
    <r>
      <rPr>
        <b/>
        <vertAlign val="subscript"/>
        <sz val="10"/>
        <rFont val="Arial Cyr"/>
        <family val="2"/>
      </rPr>
      <t>22</t>
    </r>
  </si>
  <si>
    <r>
      <t>b</t>
    </r>
    <r>
      <rPr>
        <b/>
        <vertAlign val="subscript"/>
        <sz val="10"/>
        <rFont val="Arial Cyr"/>
        <family val="2"/>
      </rPr>
      <t>33</t>
    </r>
  </si>
  <si>
    <r>
      <t>b</t>
    </r>
    <r>
      <rPr>
        <b/>
        <vertAlign val="subscript"/>
        <sz val="10"/>
        <rFont val="Arial Cyr"/>
        <family val="2"/>
      </rPr>
      <t>12</t>
    </r>
  </si>
  <si>
    <r>
      <t>b</t>
    </r>
    <r>
      <rPr>
        <b/>
        <vertAlign val="subscript"/>
        <sz val="10"/>
        <rFont val="Arial Cyr"/>
        <family val="2"/>
      </rPr>
      <t>13</t>
    </r>
  </si>
  <si>
    <r>
      <t>b</t>
    </r>
    <r>
      <rPr>
        <b/>
        <vertAlign val="subscript"/>
        <sz val="10"/>
        <rFont val="Arial Cyr"/>
        <family val="2"/>
      </rPr>
      <t>23</t>
    </r>
  </si>
  <si>
    <t>Перевод 3-факторного уравнения в псевдо 2-факторные уравнения</t>
  </si>
  <si>
    <t>Таблица 4</t>
  </si>
  <si>
    <t>Интервал варьирования</t>
  </si>
  <si>
    <r>
      <t xml:space="preserve">Натураль-ные значения факторов </t>
    </r>
    <r>
      <rPr>
        <b/>
        <sz val="7.5"/>
        <color indexed="12"/>
        <rFont val="Arial Cyr"/>
        <family val="2"/>
      </rPr>
      <t>(ввести)</t>
    </r>
  </si>
  <si>
    <t>Выполнил Гелевера А.Г.</t>
  </si>
  <si>
    <t>С-3</t>
  </si>
  <si>
    <t>%</t>
  </si>
  <si>
    <t>ПВА</t>
  </si>
  <si>
    <t>Цемент</t>
  </si>
  <si>
    <r>
      <t>кг/м</t>
    </r>
    <r>
      <rPr>
        <b/>
        <vertAlign val="superscript"/>
        <sz val="10"/>
        <rFont val="Arial Cyr"/>
        <family val="2"/>
      </rPr>
      <t>3</t>
    </r>
  </si>
  <si>
    <t>С-3, %</t>
  </si>
  <si>
    <t>ПВА, %</t>
  </si>
  <si>
    <t>Цемент, кг/м3</t>
  </si>
  <si>
    <r>
      <t xml:space="preserve">Эта программка может быть использована, если у Вас уже </t>
    </r>
    <r>
      <rPr>
        <b/>
        <u val="single"/>
        <sz val="9"/>
        <rFont val="Arial Cyr"/>
        <family val="2"/>
      </rPr>
      <t>есть уравнение регрессии</t>
    </r>
    <r>
      <rPr>
        <b/>
        <sz val="9"/>
        <rFont val="Arial Cyr"/>
        <family val="2"/>
      </rPr>
      <t xml:space="preserve"> и Вам </t>
    </r>
  </si>
  <si>
    <t xml:space="preserve">известны уровни варьирования факторов. Введите значения коэффициентов уравнения и все </t>
  </si>
  <si>
    <t>что относится к факторам в соответствующие ячейки.</t>
  </si>
  <si>
    <t xml:space="preserve">Кроме того, например, можно получить коэффициенты псевдо 2-факторных уравнений, открыть  </t>
  </si>
  <si>
    <t xml:space="preserve">программку 2-F и в ней на страничке "Натур.вычисления" определять значения функции отклика при  </t>
  </si>
  <si>
    <t>различных произвольных значениях факторов.</t>
  </si>
  <si>
    <t xml:space="preserve">Она может быть полезна для определения значения функции отклика (значения выхода) 3-факторного </t>
  </si>
  <si>
    <t xml:space="preserve">уравнения в любой точке факторного пространства при любых значениях факторов в пределах границ </t>
  </si>
  <si>
    <t>их варьирования (и даже чуть-чуть за пределами).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</si>
</sst>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0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vertAlign val="subscript"/>
      <sz val="10"/>
      <name val="Arial Cyr"/>
      <family val="2"/>
    </font>
    <font>
      <b/>
      <vertAlign val="subscript"/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i/>
      <sz val="9.5"/>
      <name val="Arial Cyr"/>
      <family val="2"/>
    </font>
    <font>
      <b/>
      <sz val="9"/>
      <name val="Arial Cyr"/>
      <family val="0"/>
    </font>
    <font>
      <b/>
      <sz val="9"/>
      <color indexed="13"/>
      <name val="Arial Cyr"/>
      <family val="2"/>
    </font>
    <font>
      <sz val="10"/>
      <color indexed="9"/>
      <name val="Arial Cyr"/>
      <family val="2"/>
    </font>
    <font>
      <b/>
      <sz val="12"/>
      <color indexed="9"/>
      <name val="Arial Cyr"/>
      <family val="2"/>
    </font>
    <font>
      <sz val="10"/>
      <color indexed="13"/>
      <name val="Arial Cyr"/>
      <family val="0"/>
    </font>
    <font>
      <sz val="7"/>
      <color indexed="13"/>
      <name val="Arial"/>
      <family val="2"/>
    </font>
    <font>
      <b/>
      <sz val="9"/>
      <color indexed="13"/>
      <name val="Arial"/>
      <family val="2"/>
    </font>
    <font>
      <b/>
      <sz val="10"/>
      <color indexed="26"/>
      <name val="Arial Cyr"/>
      <family val="2"/>
    </font>
    <font>
      <sz val="10"/>
      <color indexed="26"/>
      <name val="Arial Cyr"/>
      <family val="2"/>
    </font>
    <font>
      <b/>
      <vertAlign val="subscript"/>
      <sz val="10"/>
      <color indexed="26"/>
      <name val="Arial Cyr"/>
      <family val="2"/>
    </font>
    <font>
      <b/>
      <u val="single"/>
      <sz val="10"/>
      <color indexed="26"/>
      <name val="Arial Cyr"/>
      <family val="2"/>
    </font>
    <font>
      <b/>
      <u val="single"/>
      <vertAlign val="subscript"/>
      <sz val="10"/>
      <color indexed="26"/>
      <name val="Arial Cyr"/>
      <family val="2"/>
    </font>
    <font>
      <b/>
      <i/>
      <sz val="9.5"/>
      <color indexed="48"/>
      <name val="Arial Cyr"/>
      <family val="2"/>
    </font>
    <font>
      <b/>
      <sz val="10"/>
      <color indexed="48"/>
      <name val="Arial Cyr"/>
      <family val="2"/>
    </font>
    <font>
      <b/>
      <i/>
      <sz val="10"/>
      <color indexed="48"/>
      <name val="Arial Cyr"/>
      <family val="2"/>
    </font>
    <font>
      <b/>
      <sz val="10"/>
      <color indexed="41"/>
      <name val="Arial Cyr"/>
      <family val="2"/>
    </font>
    <font>
      <b/>
      <i/>
      <sz val="10"/>
      <color indexed="25"/>
      <name val="Arial Cyr"/>
      <family val="2"/>
    </font>
    <font>
      <b/>
      <i/>
      <sz val="9.5"/>
      <color indexed="25"/>
      <name val="Arial Cyr"/>
      <family val="2"/>
    </font>
    <font>
      <b/>
      <i/>
      <vertAlign val="subscript"/>
      <sz val="9.5"/>
      <color indexed="25"/>
      <name val="Arial Cyr"/>
      <family val="2"/>
    </font>
    <font>
      <b/>
      <sz val="10"/>
      <color indexed="35"/>
      <name val="Arial Cyr"/>
      <family val="2"/>
    </font>
    <font>
      <sz val="10"/>
      <color indexed="35"/>
      <name val="Arial Cyr"/>
      <family val="2"/>
    </font>
    <font>
      <b/>
      <sz val="10"/>
      <color indexed="13"/>
      <name val="Arial Cyr"/>
      <family val="0"/>
    </font>
    <font>
      <sz val="10"/>
      <color indexed="26"/>
      <name val="Times New Roman Cyr"/>
      <family val="1"/>
    </font>
    <font>
      <b/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b/>
      <vertAlign val="subscript"/>
      <sz val="11"/>
      <color indexed="26"/>
      <name val="Arial Cyr"/>
      <family val="2"/>
    </font>
    <font>
      <b/>
      <u val="single"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vertAlign val="subscript"/>
      <sz val="11"/>
      <color indexed="12"/>
      <name val="Arial Cyr"/>
      <family val="2"/>
    </font>
    <font>
      <b/>
      <sz val="11"/>
      <color indexed="13"/>
      <name val="Arial"/>
      <family val="2"/>
    </font>
    <font>
      <b/>
      <sz val="10"/>
      <color indexed="26"/>
      <name val="Times New Roman Cyr"/>
      <family val="0"/>
    </font>
    <font>
      <b/>
      <sz val="9"/>
      <color indexed="26"/>
      <name val="Arial Cyr"/>
      <family val="2"/>
    </font>
    <font>
      <b/>
      <sz val="10"/>
      <color indexed="43"/>
      <name val="Arial Cyr"/>
      <family val="2"/>
    </font>
    <font>
      <b/>
      <sz val="10"/>
      <color indexed="53"/>
      <name val="Arial Cyr"/>
      <family val="0"/>
    </font>
    <font>
      <b/>
      <sz val="10"/>
      <color indexed="53"/>
      <name val="Arial"/>
      <family val="2"/>
    </font>
    <font>
      <b/>
      <sz val="8"/>
      <color indexed="53"/>
      <name val="Arial Cyr"/>
      <family val="2"/>
    </font>
    <font>
      <b/>
      <vertAlign val="superscript"/>
      <sz val="10"/>
      <name val="Arial Cyr"/>
      <family val="2"/>
    </font>
    <font>
      <sz val="7.5"/>
      <color indexed="53"/>
      <name val="Arial Cyr"/>
      <family val="2"/>
    </font>
    <font>
      <b/>
      <sz val="11"/>
      <color indexed="12"/>
      <name val="Arial CYR"/>
      <family val="2"/>
    </font>
    <font>
      <b/>
      <i/>
      <vertAlign val="subscript"/>
      <sz val="11"/>
      <color indexed="12"/>
      <name val="Arial Cyr"/>
      <family val="2"/>
    </font>
    <font>
      <b/>
      <i/>
      <sz val="8.5"/>
      <name val="Arial Cyr"/>
      <family val="2"/>
    </font>
    <font>
      <sz val="10"/>
      <color indexed="43"/>
      <name val="Arial Cyr"/>
      <family val="2"/>
    </font>
    <font>
      <b/>
      <sz val="12"/>
      <color indexed="48"/>
      <name val="Arial Cyr"/>
      <family val="2"/>
    </font>
    <font>
      <b/>
      <sz val="10"/>
      <color indexed="42"/>
      <name val="Arial Cyr"/>
      <family val="2"/>
    </font>
    <font>
      <b/>
      <sz val="7.5"/>
      <name val="Arial Cyr"/>
      <family val="2"/>
    </font>
    <font>
      <sz val="11"/>
      <color indexed="8"/>
      <name val="Times New Roman Cyr"/>
      <family val="1"/>
    </font>
    <font>
      <sz val="11"/>
      <color indexed="13"/>
      <name val="Arial Cyr"/>
      <family val="0"/>
    </font>
    <font>
      <sz val="11"/>
      <name val="Arial Cyr"/>
      <family val="0"/>
    </font>
    <font>
      <b/>
      <sz val="9"/>
      <color indexed="9"/>
      <name val="Arial Cyr"/>
      <family val="2"/>
    </font>
    <font>
      <b/>
      <sz val="7.5"/>
      <color indexed="12"/>
      <name val="Arial Cyr"/>
      <family val="2"/>
    </font>
    <font>
      <b/>
      <u val="single"/>
      <sz val="9"/>
      <name val="Arial Cyr"/>
      <family val="2"/>
    </font>
    <font>
      <b/>
      <sz val="8"/>
      <color indexed="35"/>
      <name val="Arial Cyr"/>
      <family val="2"/>
    </font>
    <font>
      <sz val="8"/>
      <color indexed="35"/>
      <name val="Arial Cyr"/>
      <family val="2"/>
    </font>
    <font>
      <b/>
      <sz val="8"/>
      <color indexed="41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5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ck"/>
      <right>
        <color indexed="63"/>
      </right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ck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ck"/>
      <right>
        <color indexed="63"/>
      </right>
      <top style="hair"/>
      <bottom style="double"/>
    </border>
    <border>
      <left style="thin"/>
      <right style="thick"/>
      <top style="hair"/>
      <bottom style="double"/>
    </border>
    <border>
      <left style="thick"/>
      <right>
        <color indexed="63"/>
      </right>
      <top style="double"/>
      <bottom style="hair"/>
    </border>
    <border>
      <left style="thin"/>
      <right style="thick"/>
      <top style="double"/>
      <bottom style="hair"/>
    </border>
    <border>
      <left style="thick"/>
      <right>
        <color indexed="63"/>
      </right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>
        <color indexed="63"/>
      </right>
      <top style="thick"/>
      <bottom style="hair">
        <color indexed="23"/>
      </bottom>
    </border>
    <border>
      <left style="thin"/>
      <right>
        <color indexed="63"/>
      </right>
      <top style="thick"/>
      <bottom style="hair">
        <color indexed="23"/>
      </bottom>
    </border>
    <border>
      <left style="thin"/>
      <right style="thick"/>
      <top style="thick"/>
      <bottom style="hair">
        <color indexed="23"/>
      </bottom>
    </border>
    <border>
      <left style="thick"/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ck"/>
      <top style="hair">
        <color indexed="23"/>
      </top>
      <bottom style="hair">
        <color indexed="23"/>
      </bottom>
    </border>
    <border>
      <left style="thick"/>
      <right>
        <color indexed="63"/>
      </right>
      <top style="hair">
        <color indexed="23"/>
      </top>
      <bottom style="double"/>
    </border>
    <border>
      <left style="thin"/>
      <right>
        <color indexed="63"/>
      </right>
      <top style="hair">
        <color indexed="23"/>
      </top>
      <bottom style="double"/>
    </border>
    <border>
      <left style="thin"/>
      <right style="thick"/>
      <top style="hair">
        <color indexed="23"/>
      </top>
      <bottom style="double"/>
    </border>
    <border>
      <left style="thick"/>
      <right>
        <color indexed="63"/>
      </right>
      <top style="double"/>
      <bottom style="hair">
        <color indexed="23"/>
      </bottom>
    </border>
    <border>
      <left style="thin"/>
      <right>
        <color indexed="63"/>
      </right>
      <top style="double"/>
      <bottom style="hair">
        <color indexed="23"/>
      </bottom>
    </border>
    <border>
      <left style="thin"/>
      <right style="thick"/>
      <top style="double"/>
      <bottom style="hair">
        <color indexed="23"/>
      </bottom>
    </border>
    <border>
      <left style="thick"/>
      <right>
        <color indexed="63"/>
      </right>
      <top style="hair">
        <color indexed="23"/>
      </top>
      <bottom style="thick"/>
    </border>
    <border>
      <left style="thin"/>
      <right>
        <color indexed="63"/>
      </right>
      <top style="hair">
        <color indexed="23"/>
      </top>
      <bottom style="thick"/>
    </border>
    <border>
      <left style="thin"/>
      <right style="thick"/>
      <top style="hair">
        <color indexed="23"/>
      </top>
      <bottom style="thick"/>
    </border>
    <border>
      <left style="thin"/>
      <right style="thick"/>
      <top style="hair"/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188" fontId="16" fillId="2" borderId="0" xfId="0" applyNumberFormat="1" applyFont="1" applyFill="1" applyAlignment="1">
      <alignment horizontal="left"/>
    </xf>
    <xf numFmtId="2" fontId="16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2" fontId="3" fillId="3" borderId="3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1" fillId="4" borderId="6" xfId="0" applyFont="1" applyFill="1" applyBorder="1" applyAlignment="1">
      <alignment horizontal="left"/>
    </xf>
    <xf numFmtId="2" fontId="23" fillId="3" borderId="3" xfId="0" applyNumberFormat="1" applyFont="1" applyFill="1" applyBorder="1" applyAlignment="1">
      <alignment horizontal="center"/>
    </xf>
    <xf numFmtId="2" fontId="23" fillId="3" borderId="4" xfId="0" applyNumberFormat="1" applyFont="1" applyFill="1" applyBorder="1" applyAlignment="1">
      <alignment horizontal="center"/>
    </xf>
    <xf numFmtId="188" fontId="25" fillId="5" borderId="5" xfId="0" applyNumberFormat="1" applyFont="1" applyFill="1" applyBorder="1" applyAlignment="1">
      <alignment horizontal="center"/>
    </xf>
    <xf numFmtId="0" fontId="26" fillId="4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8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2" fillId="6" borderId="2" xfId="0" applyFont="1" applyFill="1" applyBorder="1" applyAlignment="1" applyProtection="1">
      <alignment horizontal="center"/>
      <protection locked="0"/>
    </xf>
    <xf numFmtId="0" fontId="22" fillId="6" borderId="1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alignment horizontal="left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28" fillId="3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8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29" fillId="3" borderId="0" xfId="0" applyFont="1" applyFill="1" applyAlignment="1">
      <alignment/>
    </xf>
    <xf numFmtId="0" fontId="24" fillId="3" borderId="0" xfId="0" applyFont="1" applyFill="1" applyBorder="1" applyAlignment="1">
      <alignment/>
    </xf>
    <xf numFmtId="0" fontId="35" fillId="3" borderId="0" xfId="0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13" fillId="7" borderId="0" xfId="0" applyFont="1" applyFill="1" applyAlignment="1">
      <alignment/>
    </xf>
    <xf numFmtId="0" fontId="41" fillId="2" borderId="0" xfId="0" applyFont="1" applyFill="1" applyAlignment="1">
      <alignment/>
    </xf>
    <xf numFmtId="0" fontId="1" fillId="6" borderId="18" xfId="0" applyFont="1" applyFill="1" applyBorder="1" applyAlignment="1" applyProtection="1">
      <alignment horizontal="left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16" fillId="2" borderId="11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1" fillId="8" borderId="0" xfId="0" applyFont="1" applyFill="1" applyAlignment="1">
      <alignment/>
    </xf>
    <xf numFmtId="0" fontId="11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12" fillId="8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46" fillId="7" borderId="2" xfId="0" applyNumberFormat="1" applyFont="1" applyFill="1" applyBorder="1" applyAlignment="1">
      <alignment horizontal="center" vertical="center" wrapText="1"/>
    </xf>
    <xf numFmtId="0" fontId="46" fillId="7" borderId="24" xfId="0" applyNumberFormat="1" applyFont="1" applyFill="1" applyBorder="1" applyAlignment="1">
      <alignment horizontal="center" vertical="center" wrapText="1"/>
    </xf>
    <xf numFmtId="0" fontId="46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21" fillId="7" borderId="1" xfId="0" applyFont="1" applyFill="1" applyBorder="1" applyAlignment="1">
      <alignment/>
    </xf>
    <xf numFmtId="0" fontId="0" fillId="7" borderId="2" xfId="0" applyFill="1" applyBorder="1" applyAlignment="1">
      <alignment/>
    </xf>
    <xf numFmtId="0" fontId="9" fillId="7" borderId="3" xfId="0" applyFont="1" applyFill="1" applyBorder="1" applyAlignment="1">
      <alignment horizontal="center"/>
    </xf>
    <xf numFmtId="0" fontId="21" fillId="7" borderId="28" xfId="0" applyFont="1" applyFill="1" applyBorder="1" applyAlignment="1">
      <alignment/>
    </xf>
    <xf numFmtId="0" fontId="0" fillId="7" borderId="10" xfId="0" applyFill="1" applyBorder="1" applyAlignment="1">
      <alignment/>
    </xf>
    <xf numFmtId="0" fontId="9" fillId="7" borderId="20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0" fillId="8" borderId="0" xfId="0" applyFont="1" applyFill="1" applyAlignment="1">
      <alignment/>
    </xf>
    <xf numFmtId="0" fontId="41" fillId="8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/>
    </xf>
    <xf numFmtId="0" fontId="9" fillId="6" borderId="32" xfId="0" applyFont="1" applyFill="1" applyBorder="1" applyAlignment="1" applyProtection="1">
      <alignment horizontal="center"/>
      <protection locked="0"/>
    </xf>
    <xf numFmtId="0" fontId="9" fillId="6" borderId="31" xfId="0" applyFont="1" applyFill="1" applyBorder="1" applyAlignment="1" applyProtection="1">
      <alignment horizontal="center"/>
      <protection locked="0"/>
    </xf>
    <xf numFmtId="0" fontId="9" fillId="5" borderId="33" xfId="0" applyFont="1" applyFill="1" applyBorder="1" applyAlignment="1">
      <alignment horizontal="center"/>
    </xf>
    <xf numFmtId="0" fontId="9" fillId="6" borderId="34" xfId="0" applyFont="1" applyFill="1" applyBorder="1" applyAlignment="1" applyProtection="1">
      <alignment horizontal="center"/>
      <protection locked="0"/>
    </xf>
    <xf numFmtId="0" fontId="9" fillId="6" borderId="33" xfId="0" applyFont="1" applyFill="1" applyBorder="1" applyAlignment="1" applyProtection="1">
      <alignment horizontal="center"/>
      <protection locked="0"/>
    </xf>
    <xf numFmtId="0" fontId="9" fillId="5" borderId="35" xfId="0" applyFont="1" applyFill="1" applyBorder="1" applyAlignment="1">
      <alignment horizontal="center"/>
    </xf>
    <xf numFmtId="0" fontId="9" fillId="6" borderId="36" xfId="0" applyFont="1" applyFill="1" applyBorder="1" applyAlignment="1" applyProtection="1">
      <alignment horizontal="center"/>
      <protection locked="0"/>
    </xf>
    <xf numFmtId="0" fontId="9" fillId="6" borderId="35" xfId="0" applyFont="1" applyFill="1" applyBorder="1" applyAlignment="1" applyProtection="1">
      <alignment horizontal="center"/>
      <protection locked="0"/>
    </xf>
    <xf numFmtId="0" fontId="1" fillId="5" borderId="37" xfId="0" applyFont="1" applyFill="1" applyBorder="1" applyAlignment="1">
      <alignment horizontal="right"/>
    </xf>
    <xf numFmtId="0" fontId="1" fillId="6" borderId="38" xfId="0" applyFont="1" applyFill="1" applyBorder="1" applyAlignment="1" applyProtection="1">
      <alignment horizontal="left"/>
      <protection locked="0"/>
    </xf>
    <xf numFmtId="0" fontId="1" fillId="7" borderId="39" xfId="0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188" fontId="0" fillId="7" borderId="42" xfId="0" applyNumberFormat="1" applyFill="1" applyBorder="1" applyAlignment="1">
      <alignment horizontal="center"/>
    </xf>
    <xf numFmtId="188" fontId="0" fillId="7" borderId="43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7" borderId="59" xfId="0" applyFont="1" applyFill="1" applyBorder="1" applyAlignment="1">
      <alignment horizontal="center"/>
    </xf>
    <xf numFmtId="0" fontId="42" fillId="7" borderId="59" xfId="0" applyFont="1" applyFill="1" applyBorder="1" applyAlignment="1">
      <alignment horizontal="center"/>
    </xf>
    <xf numFmtId="0" fontId="42" fillId="7" borderId="60" xfId="0" applyFont="1" applyFill="1" applyBorder="1" applyAlignment="1">
      <alignment horizontal="center"/>
    </xf>
    <xf numFmtId="0" fontId="42" fillId="7" borderId="61" xfId="0" applyFont="1" applyFill="1" applyBorder="1" applyAlignment="1">
      <alignment horizontal="center"/>
    </xf>
    <xf numFmtId="0" fontId="1" fillId="6" borderId="62" xfId="0" applyFont="1" applyFill="1" applyBorder="1" applyAlignment="1" applyProtection="1">
      <alignment horizontal="center"/>
      <protection locked="0"/>
    </xf>
    <xf numFmtId="0" fontId="1" fillId="7" borderId="63" xfId="0" applyFont="1" applyFill="1" applyBorder="1" applyAlignment="1">
      <alignment horizontal="center"/>
    </xf>
    <xf numFmtId="0" fontId="42" fillId="7" borderId="63" xfId="0" applyFont="1" applyFill="1" applyBorder="1" applyAlignment="1">
      <alignment horizontal="center"/>
    </xf>
    <xf numFmtId="0" fontId="43" fillId="7" borderId="49" xfId="0" applyFont="1" applyFill="1" applyBorder="1" applyAlignment="1">
      <alignment horizontal="center"/>
    </xf>
    <xf numFmtId="0" fontId="42" fillId="7" borderId="64" xfId="0" applyFont="1" applyFill="1" applyBorder="1" applyAlignment="1">
      <alignment horizontal="center"/>
    </xf>
    <xf numFmtId="0" fontId="1" fillId="6" borderId="51" xfId="0" applyFont="1" applyFill="1" applyBorder="1" applyAlignment="1" applyProtection="1">
      <alignment horizontal="center"/>
      <protection locked="0"/>
    </xf>
    <xf numFmtId="0" fontId="42" fillId="7" borderId="49" xfId="0" applyFont="1" applyFill="1" applyBorder="1" applyAlignment="1">
      <alignment horizontal="center"/>
    </xf>
    <xf numFmtId="0" fontId="1" fillId="7" borderId="65" xfId="0" applyFont="1" applyFill="1" applyBorder="1" applyAlignment="1">
      <alignment horizontal="center"/>
    </xf>
    <xf numFmtId="0" fontId="42" fillId="7" borderId="65" xfId="0" applyFont="1" applyFill="1" applyBorder="1" applyAlignment="1">
      <alignment horizontal="center"/>
    </xf>
    <xf numFmtId="0" fontId="42" fillId="7" borderId="54" xfId="0" applyFont="1" applyFill="1" applyBorder="1" applyAlignment="1">
      <alignment horizontal="center"/>
    </xf>
    <xf numFmtId="0" fontId="42" fillId="7" borderId="66" xfId="0" applyFont="1" applyFill="1" applyBorder="1" applyAlignment="1">
      <alignment horizontal="center"/>
    </xf>
    <xf numFmtId="0" fontId="1" fillId="6" borderId="56" xfId="0" applyFont="1" applyFill="1" applyBorder="1" applyAlignment="1" applyProtection="1">
      <alignment horizontal="center"/>
      <protection locked="0"/>
    </xf>
    <xf numFmtId="0" fontId="1" fillId="7" borderId="67" xfId="0" applyFont="1" applyFill="1" applyBorder="1" applyAlignment="1">
      <alignment horizontal="center"/>
    </xf>
    <xf numFmtId="0" fontId="42" fillId="7" borderId="67" xfId="0" applyFont="1" applyFill="1" applyBorder="1" applyAlignment="1">
      <alignment horizontal="center"/>
    </xf>
    <xf numFmtId="0" fontId="42" fillId="7" borderId="44" xfId="0" applyFont="1" applyFill="1" applyBorder="1" applyAlignment="1">
      <alignment horizontal="center"/>
    </xf>
    <xf numFmtId="0" fontId="42" fillId="7" borderId="68" xfId="0" applyFont="1" applyFill="1" applyBorder="1" applyAlignment="1">
      <alignment horizontal="center"/>
    </xf>
    <xf numFmtId="0" fontId="1" fillId="6" borderId="46" xfId="0" applyFont="1" applyFill="1" applyBorder="1" applyAlignment="1" applyProtection="1">
      <alignment horizontal="center"/>
      <protection locked="0"/>
    </xf>
    <xf numFmtId="0" fontId="1" fillId="7" borderId="69" xfId="0" applyFont="1" applyFill="1" applyBorder="1" applyAlignment="1">
      <alignment horizontal="center"/>
    </xf>
    <xf numFmtId="0" fontId="42" fillId="7" borderId="69" xfId="0" applyFont="1" applyFill="1" applyBorder="1" applyAlignment="1">
      <alignment horizontal="center"/>
    </xf>
    <xf numFmtId="0" fontId="42" fillId="7" borderId="70" xfId="0" applyFont="1" applyFill="1" applyBorder="1" applyAlignment="1">
      <alignment horizontal="center"/>
    </xf>
    <xf numFmtId="0" fontId="42" fillId="7" borderId="71" xfId="0" applyFont="1" applyFill="1" applyBorder="1" applyAlignment="1">
      <alignment horizontal="center"/>
    </xf>
    <xf numFmtId="0" fontId="1" fillId="6" borderId="72" xfId="0" applyFont="1" applyFill="1" applyBorder="1" applyAlignment="1" applyProtection="1">
      <alignment horizontal="center"/>
      <protection locked="0"/>
    </xf>
    <xf numFmtId="0" fontId="1" fillId="3" borderId="73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/>
    </xf>
    <xf numFmtId="0" fontId="6" fillId="3" borderId="77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3" borderId="81" xfId="0" applyFont="1" applyFill="1" applyBorder="1" applyAlignment="1">
      <alignment horizontal="center" vertical="center"/>
    </xf>
    <xf numFmtId="0" fontId="1" fillId="3" borderId="82" xfId="0" applyFont="1" applyFill="1" applyBorder="1" applyAlignment="1">
      <alignment horizontal="center"/>
    </xf>
    <xf numFmtId="0" fontId="1" fillId="3" borderId="83" xfId="0" applyFont="1" applyFill="1" applyBorder="1" applyAlignment="1">
      <alignment horizontal="center"/>
    </xf>
    <xf numFmtId="0" fontId="1" fillId="3" borderId="84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/>
    </xf>
    <xf numFmtId="0" fontId="1" fillId="3" borderId="86" xfId="0" applyFont="1" applyFill="1" applyBorder="1" applyAlignment="1">
      <alignment horizontal="center"/>
    </xf>
    <xf numFmtId="0" fontId="1" fillId="3" borderId="87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88" fontId="1" fillId="5" borderId="61" xfId="0" applyNumberFormat="1" applyFont="1" applyFill="1" applyBorder="1" applyAlignment="1">
      <alignment horizontal="center"/>
    </xf>
    <xf numFmtId="188" fontId="1" fillId="5" borderId="64" xfId="0" applyNumberFormat="1" applyFont="1" applyFill="1" applyBorder="1" applyAlignment="1">
      <alignment horizontal="center"/>
    </xf>
    <xf numFmtId="188" fontId="1" fillId="5" borderId="88" xfId="0" applyNumberFormat="1" applyFont="1" applyFill="1" applyBorder="1" applyAlignment="1">
      <alignment horizontal="center"/>
    </xf>
    <xf numFmtId="188" fontId="1" fillId="5" borderId="68" xfId="0" applyNumberFormat="1" applyFont="1" applyFill="1" applyBorder="1" applyAlignment="1">
      <alignment horizontal="center"/>
    </xf>
    <xf numFmtId="188" fontId="1" fillId="5" borderId="66" xfId="0" applyNumberFormat="1" applyFont="1" applyFill="1" applyBorder="1" applyAlignment="1">
      <alignment horizontal="center"/>
    </xf>
    <xf numFmtId="188" fontId="1" fillId="5" borderId="89" xfId="0" applyNumberFormat="1" applyFont="1" applyFill="1" applyBorder="1" applyAlignment="1">
      <alignment horizontal="center"/>
    </xf>
    <xf numFmtId="49" fontId="1" fillId="6" borderId="8" xfId="0" applyNumberFormat="1" applyFont="1" applyFill="1" applyBorder="1" applyAlignment="1" applyProtection="1">
      <alignment horizontal="center"/>
      <protection locked="0"/>
    </xf>
    <xf numFmtId="49" fontId="1" fillId="6" borderId="20" xfId="0" applyNumberFormat="1" applyFont="1" applyFill="1" applyBorder="1" applyAlignment="1" applyProtection="1">
      <alignment horizontal="center"/>
      <protection locked="0"/>
    </xf>
    <xf numFmtId="49" fontId="1" fillId="6" borderId="9" xfId="0" applyNumberFormat="1" applyFont="1" applyFill="1" applyBorder="1" applyAlignment="1" applyProtection="1">
      <alignment horizontal="center"/>
      <protection locked="0"/>
    </xf>
    <xf numFmtId="0" fontId="52" fillId="2" borderId="0" xfId="0" applyFont="1" applyFill="1" applyAlignment="1">
      <alignment horizontal="right"/>
    </xf>
    <xf numFmtId="188" fontId="52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88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3" borderId="90" xfId="0" applyFont="1" applyFill="1" applyBorder="1" applyAlignment="1">
      <alignment horizontal="center" vertical="center" wrapText="1"/>
    </xf>
    <xf numFmtId="0" fontId="1" fillId="3" borderId="9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" fillId="3" borderId="92" xfId="0" applyFont="1" applyFill="1" applyBorder="1" applyAlignment="1">
      <alignment horizontal="center" vertical="center" wrapText="1"/>
    </xf>
    <xf numFmtId="0" fontId="1" fillId="3" borderId="93" xfId="0" applyFont="1" applyFill="1" applyBorder="1" applyAlignment="1">
      <alignment horizontal="center" vertical="center" wrapText="1"/>
    </xf>
    <xf numFmtId="0" fontId="1" fillId="3" borderId="94" xfId="0" applyFont="1" applyFill="1" applyBorder="1" applyAlignment="1">
      <alignment horizontal="center" vertical="center" wrapText="1"/>
    </xf>
    <xf numFmtId="0" fontId="53" fillId="3" borderId="92" xfId="0" applyFont="1" applyFill="1" applyBorder="1" applyAlignment="1">
      <alignment horizontal="center" vertical="center" wrapText="1"/>
    </xf>
    <xf numFmtId="0" fontId="1" fillId="7" borderId="95" xfId="0" applyFont="1" applyFill="1" applyBorder="1" applyAlignment="1">
      <alignment horizontal="center"/>
    </xf>
    <xf numFmtId="0" fontId="1" fillId="7" borderId="96" xfId="0" applyFont="1" applyFill="1" applyBorder="1" applyAlignment="1">
      <alignment horizontal="center"/>
    </xf>
    <xf numFmtId="0" fontId="1" fillId="7" borderId="97" xfId="0" applyFont="1" applyFill="1" applyBorder="1" applyAlignment="1">
      <alignment horizontal="center"/>
    </xf>
    <xf numFmtId="0" fontId="1" fillId="7" borderId="98" xfId="0" applyFont="1" applyFill="1" applyBorder="1" applyAlignment="1">
      <alignment horizontal="center"/>
    </xf>
    <xf numFmtId="0" fontId="1" fillId="7" borderId="99" xfId="0" applyFont="1" applyFill="1" applyBorder="1" applyAlignment="1">
      <alignment horizontal="center"/>
    </xf>
    <xf numFmtId="0" fontId="1" fillId="7" borderId="92" xfId="0" applyFont="1" applyFill="1" applyBorder="1" applyAlignment="1">
      <alignment horizontal="center" vertical="center" wrapText="1"/>
    </xf>
    <xf numFmtId="0" fontId="1" fillId="7" borderId="10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2" fontId="3" fillId="7" borderId="101" xfId="0" applyNumberFormat="1" applyFont="1" applyFill="1" applyBorder="1" applyAlignment="1">
      <alignment horizontal="center" vertical="center" wrapText="1"/>
    </xf>
    <xf numFmtId="2" fontId="3" fillId="7" borderId="102" xfId="0" applyNumberFormat="1" applyFont="1" applyFill="1" applyBorder="1" applyAlignment="1">
      <alignment horizontal="center" vertical="center" wrapText="1"/>
    </xf>
    <xf numFmtId="2" fontId="3" fillId="7" borderId="94" xfId="0" applyNumberFormat="1" applyFont="1" applyFill="1" applyBorder="1" applyAlignment="1">
      <alignment horizontal="center" vertical="center" wrapText="1"/>
    </xf>
    <xf numFmtId="2" fontId="3" fillId="7" borderId="103" xfId="0" applyNumberFormat="1" applyFont="1" applyFill="1" applyBorder="1" applyAlignment="1">
      <alignment horizontal="center" vertical="center" wrapText="1"/>
    </xf>
    <xf numFmtId="2" fontId="3" fillId="7" borderId="104" xfId="0" applyNumberFormat="1" applyFont="1" applyFill="1" applyBorder="1" applyAlignment="1">
      <alignment horizontal="center" vertical="center" wrapText="1"/>
    </xf>
    <xf numFmtId="2" fontId="3" fillId="7" borderId="90" xfId="0" applyNumberFormat="1" applyFont="1" applyFill="1" applyBorder="1" applyAlignment="1">
      <alignment horizontal="center" vertical="center" wrapText="1"/>
    </xf>
    <xf numFmtId="2" fontId="3" fillId="7" borderId="105" xfId="0" applyNumberFormat="1" applyFont="1" applyFill="1" applyBorder="1" applyAlignment="1">
      <alignment horizontal="center" vertical="center" wrapText="1"/>
    </xf>
    <xf numFmtId="2" fontId="3" fillId="7" borderId="106" xfId="0" applyNumberFormat="1" applyFont="1" applyFill="1" applyBorder="1" applyAlignment="1">
      <alignment horizontal="center" vertical="center" wrapText="1"/>
    </xf>
    <xf numFmtId="2" fontId="3" fillId="7" borderId="91" xfId="0" applyNumberFormat="1" applyFont="1" applyFill="1" applyBorder="1" applyAlignment="1">
      <alignment horizontal="center" vertical="center" wrapText="1"/>
    </xf>
    <xf numFmtId="2" fontId="3" fillId="7" borderId="95" xfId="0" applyNumberFormat="1" applyFont="1" applyFill="1" applyBorder="1" applyAlignment="1">
      <alignment horizontal="center" vertical="center" wrapText="1"/>
    </xf>
    <xf numFmtId="2" fontId="3" fillId="7" borderId="43" xfId="0" applyNumberFormat="1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93" xfId="0" applyFont="1" applyFill="1" applyBorder="1" applyAlignment="1">
      <alignment horizontal="center" vertical="center" wrapText="1"/>
    </xf>
    <xf numFmtId="2" fontId="3" fillId="7" borderId="96" xfId="0" applyNumberFormat="1" applyFont="1" applyFill="1" applyBorder="1" applyAlignment="1">
      <alignment horizontal="center" vertical="center" wrapText="1"/>
    </xf>
    <xf numFmtId="2" fontId="3" fillId="7" borderId="97" xfId="0" applyNumberFormat="1" applyFont="1" applyFill="1" applyBorder="1" applyAlignment="1">
      <alignment horizontal="center" vertical="center" wrapText="1"/>
    </xf>
    <xf numFmtId="0" fontId="3" fillId="7" borderId="94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center" vertical="center" wrapText="1"/>
    </xf>
    <xf numFmtId="0" fontId="3" fillId="7" borderId="91" xfId="0" applyFont="1" applyFill="1" applyBorder="1" applyAlignment="1">
      <alignment horizontal="center" vertical="center" wrapText="1"/>
    </xf>
    <xf numFmtId="0" fontId="1" fillId="7" borderId="107" xfId="0" applyFont="1" applyFill="1" applyBorder="1" applyAlignment="1">
      <alignment horizontal="center" vertical="center" wrapText="1"/>
    </xf>
    <xf numFmtId="2" fontId="3" fillId="7" borderId="108" xfId="0" applyNumberFormat="1" applyFont="1" applyFill="1" applyBorder="1" applyAlignment="1">
      <alignment horizontal="center" vertical="center" wrapText="1"/>
    </xf>
    <xf numFmtId="2" fontId="3" fillId="7" borderId="109" xfId="0" applyNumberFormat="1" applyFont="1" applyFill="1" applyBorder="1" applyAlignment="1">
      <alignment horizontal="center" vertical="center" wrapText="1"/>
    </xf>
    <xf numFmtId="2" fontId="3" fillId="7" borderId="110" xfId="0" applyNumberFormat="1" applyFont="1" applyFill="1" applyBorder="1" applyAlignment="1">
      <alignment horizontal="center" vertical="center" wrapText="1"/>
    </xf>
    <xf numFmtId="2" fontId="3" fillId="7" borderId="40" xfId="0" applyNumberFormat="1" applyFont="1" applyFill="1" applyBorder="1" applyAlignment="1">
      <alignment horizontal="center" vertical="center" wrapText="1"/>
    </xf>
    <xf numFmtId="0" fontId="3" fillId="7" borderId="108" xfId="0" applyFont="1" applyFill="1" applyBorder="1" applyAlignment="1">
      <alignment horizontal="center" vertical="center" wrapText="1"/>
    </xf>
    <xf numFmtId="0" fontId="3" fillId="7" borderId="109" xfId="0" applyFont="1" applyFill="1" applyBorder="1" applyAlignment="1">
      <alignment horizontal="center" vertical="center" wrapText="1"/>
    </xf>
    <xf numFmtId="0" fontId="3" fillId="7" borderId="110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1" fillId="7" borderId="99" xfId="0" applyFont="1" applyFill="1" applyBorder="1" applyAlignment="1">
      <alignment horizontal="center" vertical="center" wrapText="1"/>
    </xf>
    <xf numFmtId="2" fontId="3" fillId="7" borderId="98" xfId="0" applyNumberFormat="1" applyFont="1" applyFill="1" applyBorder="1" applyAlignment="1">
      <alignment horizontal="center" vertical="center" wrapText="1"/>
    </xf>
    <xf numFmtId="2" fontId="3" fillId="7" borderId="93" xfId="0" applyNumberFormat="1" applyFont="1" applyFill="1" applyBorder="1" applyAlignment="1">
      <alignment horizontal="center" vertical="center" wrapText="1"/>
    </xf>
    <xf numFmtId="2" fontId="3" fillId="7" borderId="111" xfId="0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2" fontId="3" fillId="7" borderId="112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2" fontId="3" fillId="7" borderId="113" xfId="0" applyNumberFormat="1" applyFont="1" applyFill="1" applyBorder="1" applyAlignment="1">
      <alignment horizontal="center" vertical="center" wrapText="1"/>
    </xf>
    <xf numFmtId="2" fontId="3" fillId="7" borderId="114" xfId="0" applyNumberFormat="1" applyFont="1" applyFill="1" applyBorder="1" applyAlignment="1">
      <alignment horizontal="center" vertical="center" wrapText="1"/>
    </xf>
    <xf numFmtId="2" fontId="3" fillId="7" borderId="115" xfId="0" applyNumberFormat="1" applyFont="1" applyFill="1" applyBorder="1" applyAlignment="1">
      <alignment horizontal="center" vertical="center" wrapText="1"/>
    </xf>
    <xf numFmtId="2" fontId="3" fillId="7" borderId="116" xfId="0" applyNumberFormat="1" applyFont="1" applyFill="1" applyBorder="1" applyAlignment="1">
      <alignment horizontal="center" vertical="center" wrapText="1"/>
    </xf>
    <xf numFmtId="0" fontId="3" fillId="7" borderId="95" xfId="0" applyFont="1" applyFill="1" applyBorder="1" applyAlignment="1">
      <alignment horizontal="center" vertical="center" wrapText="1"/>
    </xf>
    <xf numFmtId="0" fontId="3" fillId="7" borderId="96" xfId="0" applyFont="1" applyFill="1" applyBorder="1" applyAlignment="1">
      <alignment horizontal="center" vertical="center" wrapText="1"/>
    </xf>
    <xf numFmtId="0" fontId="3" fillId="7" borderId="97" xfId="0" applyFont="1" applyFill="1" applyBorder="1" applyAlignment="1">
      <alignment horizontal="center" vertical="center" wrapText="1"/>
    </xf>
    <xf numFmtId="0" fontId="41" fillId="8" borderId="0" xfId="0" applyFont="1" applyFill="1" applyAlignment="1">
      <alignment horizontal="center" vertical="center"/>
    </xf>
    <xf numFmtId="0" fontId="50" fillId="2" borderId="0" xfId="0" applyFont="1" applyFill="1" applyAlignment="1">
      <alignment/>
    </xf>
    <xf numFmtId="0" fontId="54" fillId="7" borderId="0" xfId="0" applyFont="1" applyFill="1" applyAlignment="1">
      <alignment horizontal="left"/>
    </xf>
    <xf numFmtId="0" fontId="55" fillId="7" borderId="0" xfId="0" applyFont="1" applyFill="1" applyAlignment="1">
      <alignment/>
    </xf>
    <xf numFmtId="0" fontId="56" fillId="7" borderId="0" xfId="0" applyFont="1" applyFill="1" applyAlignment="1">
      <alignment/>
    </xf>
    <xf numFmtId="0" fontId="57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1" fillId="5" borderId="117" xfId="0" applyFont="1" applyFill="1" applyBorder="1" applyAlignment="1">
      <alignment horizontal="right"/>
    </xf>
    <xf numFmtId="0" fontId="1" fillId="6" borderId="118" xfId="0" applyFont="1" applyFill="1" applyBorder="1" applyAlignment="1" applyProtection="1">
      <alignment horizontal="left"/>
      <protection locked="0"/>
    </xf>
    <xf numFmtId="0" fontId="1" fillId="5" borderId="119" xfId="0" applyFont="1" applyFill="1" applyBorder="1" applyAlignment="1">
      <alignment horizontal="right"/>
    </xf>
    <xf numFmtId="0" fontId="1" fillId="6" borderId="120" xfId="0" applyFont="1" applyFill="1" applyBorder="1" applyAlignment="1" applyProtection="1">
      <alignment horizontal="left"/>
      <protection locked="0"/>
    </xf>
    <xf numFmtId="0" fontId="1" fillId="5" borderId="121" xfId="0" applyFont="1" applyFill="1" applyBorder="1" applyAlignment="1">
      <alignment horizontal="right"/>
    </xf>
    <xf numFmtId="0" fontId="1" fillId="6" borderId="122" xfId="0" applyFont="1" applyFill="1" applyBorder="1" applyAlignment="1" applyProtection="1">
      <alignment horizontal="left"/>
      <protection locked="0"/>
    </xf>
    <xf numFmtId="0" fontId="9" fillId="5" borderId="123" xfId="0" applyFont="1" applyFill="1" applyBorder="1" applyAlignment="1">
      <alignment horizontal="center" vertical="center" wrapText="1"/>
    </xf>
    <xf numFmtId="0" fontId="7" fillId="5" borderId="123" xfId="0" applyFont="1" applyFill="1" applyBorder="1" applyAlignment="1">
      <alignment horizontal="center" vertical="center" wrapText="1"/>
    </xf>
    <xf numFmtId="0" fontId="51" fillId="9" borderId="123" xfId="0" applyFont="1" applyFill="1" applyBorder="1" applyAlignment="1">
      <alignment horizontal="center" vertical="center" wrapText="1"/>
    </xf>
    <xf numFmtId="0" fontId="53" fillId="6" borderId="12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inden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top"/>
    </xf>
    <xf numFmtId="0" fontId="41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right"/>
    </xf>
    <xf numFmtId="188" fontId="41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49" fontId="32" fillId="2" borderId="0" xfId="0" applyNumberFormat="1" applyFont="1" applyFill="1" applyBorder="1" applyAlignment="1">
      <alignment horizontal="center"/>
    </xf>
    <xf numFmtId="188" fontId="33" fillId="2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59" fillId="3" borderId="0" xfId="0" applyFont="1" applyFill="1" applyAlignment="1">
      <alignment/>
    </xf>
    <xf numFmtId="0" fontId="59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7" borderId="111" xfId="0" applyFont="1" applyFill="1" applyBorder="1" applyAlignment="1">
      <alignment horizontal="center" vertical="center" wrapText="1"/>
    </xf>
    <xf numFmtId="0" fontId="60" fillId="2" borderId="124" xfId="0" applyFont="1" applyFill="1" applyBorder="1" applyAlignment="1">
      <alignment/>
    </xf>
    <xf numFmtId="0" fontId="61" fillId="2" borderId="125" xfId="0" applyFont="1" applyFill="1" applyBorder="1" applyAlignment="1">
      <alignment/>
    </xf>
    <xf numFmtId="0" fontId="60" fillId="2" borderId="0" xfId="0" applyFont="1" applyFill="1" applyAlignment="1">
      <alignment vertical="center"/>
    </xf>
    <xf numFmtId="0" fontId="61" fillId="2" borderId="0" xfId="0" applyFont="1" applyFill="1" applyAlignment="1">
      <alignment/>
    </xf>
    <xf numFmtId="0" fontId="49" fillId="3" borderId="7" xfId="0" applyFont="1" applyFill="1" applyBorder="1" applyAlignment="1">
      <alignment horizontal="center" vertical="center"/>
    </xf>
    <xf numFmtId="0" fontId="49" fillId="3" borderId="6" xfId="0" applyFont="1" applyFill="1" applyBorder="1" applyAlignment="1">
      <alignment horizontal="center" vertical="center"/>
    </xf>
    <xf numFmtId="0" fontId="1" fillId="5" borderId="126" xfId="0" applyFont="1" applyFill="1" applyBorder="1" applyAlignment="1">
      <alignment horizontal="center" vertical="center" wrapText="1"/>
    </xf>
    <xf numFmtId="0" fontId="1" fillId="5" borderId="127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62" fillId="2" borderId="124" xfId="0" applyFont="1" applyFill="1" applyBorder="1" applyAlignment="1">
      <alignment horizontal="center" vertical="center"/>
    </xf>
    <xf numFmtId="0" fontId="62" fillId="2" borderId="125" xfId="0" applyFont="1" applyFill="1" applyBorder="1" applyAlignment="1">
      <alignment horizontal="center" vertical="center"/>
    </xf>
    <xf numFmtId="0" fontId="1" fillId="6" borderId="128" xfId="0" applyFont="1" applyFill="1" applyBorder="1" applyAlignment="1">
      <alignment horizontal="center" vertical="center" wrapText="1"/>
    </xf>
    <xf numFmtId="0" fontId="1" fillId="6" borderId="129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42" fillId="7" borderId="7" xfId="0" applyFont="1" applyFill="1" applyBorder="1" applyAlignment="1">
      <alignment horizontal="center" vertical="center" wrapText="1"/>
    </xf>
    <xf numFmtId="0" fontId="42" fillId="7" borderId="5" xfId="0" applyFont="1" applyFill="1" applyBorder="1" applyAlignment="1">
      <alignment horizontal="center" vertical="center" wrapText="1"/>
    </xf>
    <xf numFmtId="0" fontId="42" fillId="7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0" xfId="0" applyFont="1" applyFill="1" applyBorder="1" applyAlignment="1">
      <alignment horizontal="center" vertical="center" wrapText="1"/>
    </xf>
    <xf numFmtId="0" fontId="1" fillId="3" borderId="13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2" xfId="0" applyFont="1" applyFill="1" applyBorder="1" applyAlignment="1">
      <alignment horizontal="center" vertical="center" wrapText="1"/>
    </xf>
    <xf numFmtId="0" fontId="9" fillId="7" borderId="133" xfId="0" applyFont="1" applyFill="1" applyBorder="1" applyAlignment="1">
      <alignment horizontal="center" vertical="center" wrapText="1"/>
    </xf>
    <xf numFmtId="0" fontId="1" fillId="3" borderId="114" xfId="0" applyFont="1" applyFill="1" applyBorder="1" applyAlignment="1">
      <alignment horizontal="center" vertical="center" wrapText="1"/>
    </xf>
    <xf numFmtId="0" fontId="1" fillId="3" borderId="112" xfId="0" applyFont="1" applyFill="1" applyBorder="1" applyAlignment="1">
      <alignment horizontal="center" vertical="center" wrapText="1"/>
    </xf>
    <xf numFmtId="0" fontId="1" fillId="3" borderId="134" xfId="0" applyFont="1" applyFill="1" applyBorder="1" applyAlignment="1">
      <alignment horizontal="center" vertical="center" wrapText="1"/>
    </xf>
    <xf numFmtId="0" fontId="9" fillId="3" borderId="108" xfId="0" applyFont="1" applyFill="1" applyBorder="1" applyAlignment="1">
      <alignment horizontal="center" vertical="center" wrapText="1"/>
    </xf>
    <xf numFmtId="0" fontId="9" fillId="3" borderId="13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35" xfId="0" applyFont="1" applyFill="1" applyBorder="1" applyAlignment="1">
      <alignment horizontal="center" vertical="center" wrapText="1"/>
    </xf>
    <xf numFmtId="0" fontId="1" fillId="3" borderId="136" xfId="0" applyFont="1" applyFill="1" applyBorder="1" applyAlignment="1">
      <alignment horizontal="center" vertical="center" wrapText="1"/>
    </xf>
    <xf numFmtId="0" fontId="1" fillId="3" borderId="13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30" xfId="0" applyFont="1" applyFill="1" applyBorder="1" applyAlignment="1">
      <alignment horizontal="center" vertical="center" wrapText="1"/>
    </xf>
    <xf numFmtId="0" fontId="1" fillId="3" borderId="12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26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7" borderId="138" xfId="0" applyFill="1" applyBorder="1" applyAlignment="1">
      <alignment/>
    </xf>
    <xf numFmtId="0" fontId="0" fillId="7" borderId="139" xfId="0" applyFill="1" applyBorder="1" applyAlignment="1">
      <alignment/>
    </xf>
    <xf numFmtId="0" fontId="0" fillId="7" borderId="140" xfId="0" applyFill="1" applyBorder="1" applyAlignment="1">
      <alignment horizontal="center" vertical="center"/>
    </xf>
    <xf numFmtId="0" fontId="0" fillId="7" borderId="141" xfId="0" applyFill="1" applyBorder="1" applyAlignment="1">
      <alignment horizontal="center" vertical="center"/>
    </xf>
    <xf numFmtId="0" fontId="0" fillId="7" borderId="142" xfId="0" applyFill="1" applyBorder="1" applyAlignment="1">
      <alignment horizontal="center" vertical="center"/>
    </xf>
    <xf numFmtId="0" fontId="0" fillId="7" borderId="14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44" xfId="0" applyFill="1" applyBorder="1" applyAlignment="1">
      <alignment horizontal="center" vertical="center"/>
    </xf>
    <xf numFmtId="0" fontId="0" fillId="7" borderId="138" xfId="0" applyFill="1" applyBorder="1" applyAlignment="1">
      <alignment horizontal="center" vertical="center"/>
    </xf>
    <xf numFmtId="0" fontId="0" fillId="7" borderId="139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35" xfId="0" applyFont="1" applyFill="1" applyBorder="1" applyAlignment="1">
      <alignment horizontal="center" vertical="center" wrapText="1"/>
    </xf>
    <xf numFmtId="0" fontId="7" fillId="3" borderId="137" xfId="0" applyFont="1" applyFill="1" applyBorder="1" applyAlignment="1">
      <alignment horizontal="center" vertical="center" wrapText="1"/>
    </xf>
    <xf numFmtId="0" fontId="1" fillId="3" borderId="145" xfId="0" applyFont="1" applyFill="1" applyBorder="1" applyAlignment="1">
      <alignment horizontal="center"/>
    </xf>
    <xf numFmtId="0" fontId="1" fillId="3" borderId="14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14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5" borderId="119" xfId="0" applyFont="1" applyFill="1" applyBorder="1" applyAlignment="1" applyProtection="1">
      <alignment horizontal="left" indent="1"/>
      <protection locked="0"/>
    </xf>
    <xf numFmtId="0" fontId="9" fillId="5" borderId="34" xfId="0" applyFont="1" applyFill="1" applyBorder="1" applyAlignment="1" applyProtection="1">
      <alignment horizontal="left" indent="1"/>
      <protection locked="0"/>
    </xf>
    <xf numFmtId="0" fontId="9" fillId="5" borderId="120" xfId="0" applyFont="1" applyFill="1" applyBorder="1" applyAlignment="1" applyProtection="1">
      <alignment horizontal="left" indent="1"/>
      <protection locked="0"/>
    </xf>
    <xf numFmtId="0" fontId="9" fillId="5" borderId="121" xfId="0" applyFont="1" applyFill="1" applyBorder="1" applyAlignment="1" applyProtection="1">
      <alignment horizontal="left" indent="1"/>
      <protection locked="0"/>
    </xf>
    <xf numFmtId="0" fontId="9" fillId="5" borderId="36" xfId="0" applyFont="1" applyFill="1" applyBorder="1" applyAlignment="1" applyProtection="1">
      <alignment horizontal="left" indent="1"/>
      <protection locked="0"/>
    </xf>
    <xf numFmtId="0" fontId="9" fillId="5" borderId="122" xfId="0" applyFont="1" applyFill="1" applyBorder="1" applyAlignment="1" applyProtection="1">
      <alignment horizontal="left" indent="1"/>
      <protection locked="0"/>
    </xf>
    <xf numFmtId="0" fontId="9" fillId="5" borderId="12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0" fontId="1" fillId="6" borderId="33" xfId="0" applyFont="1" applyFill="1" applyBorder="1" applyAlignment="1" applyProtection="1">
      <alignment horizontal="center" vertical="center" wrapText="1"/>
      <protection locked="0"/>
    </xf>
    <xf numFmtId="0" fontId="9" fillId="5" borderId="33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wrapText="1" indent="1"/>
    </xf>
    <xf numFmtId="0" fontId="7" fillId="5" borderId="35" xfId="0" applyFont="1" applyFill="1" applyBorder="1" applyAlignment="1">
      <alignment horizontal="left" vertical="center" wrapText="1" inden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left" vertical="center" wrapText="1" indent="1"/>
    </xf>
    <xf numFmtId="2" fontId="51" fillId="9" borderId="123" xfId="0" applyNumberFormat="1" applyFont="1" applyFill="1" applyBorder="1" applyAlignment="1">
      <alignment horizontal="center" vertical="center" wrapText="1"/>
    </xf>
    <xf numFmtId="188" fontId="1" fillId="5" borderId="33" xfId="0" applyNumberFormat="1" applyFont="1" applyFill="1" applyBorder="1" applyAlignment="1">
      <alignment horizontal="center" vertical="center" wrapText="1"/>
    </xf>
    <xf numFmtId="0" fontId="1" fillId="6" borderId="35" xfId="0" applyFont="1" applyFill="1" applyBorder="1" applyAlignment="1" applyProtection="1">
      <alignment horizontal="center" vertical="center" wrapText="1"/>
      <protection locked="0"/>
    </xf>
    <xf numFmtId="188" fontId="1" fillId="5" borderId="35" xfId="0" applyNumberFormat="1" applyFont="1" applyFill="1" applyBorder="1" applyAlignment="1">
      <alignment horizontal="center" vertical="center" wrapText="1"/>
    </xf>
    <xf numFmtId="188" fontId="1" fillId="5" borderId="31" xfId="0" applyNumberFormat="1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148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7" fillId="5" borderId="14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9" fillId="5" borderId="117" xfId="0" applyFont="1" applyFill="1" applyBorder="1" applyAlignment="1" applyProtection="1">
      <alignment horizontal="left" indent="1"/>
      <protection locked="0"/>
    </xf>
    <xf numFmtId="0" fontId="9" fillId="5" borderId="32" xfId="0" applyFont="1" applyFill="1" applyBorder="1" applyAlignment="1" applyProtection="1">
      <alignment horizontal="left" indent="1"/>
      <protection locked="0"/>
    </xf>
    <xf numFmtId="0" fontId="9" fillId="5" borderId="118" xfId="0" applyFont="1" applyFill="1" applyBorder="1" applyAlignment="1" applyProtection="1">
      <alignment horizontal="left" indent="1"/>
      <protection locked="0"/>
    </xf>
    <xf numFmtId="0" fontId="9" fillId="5" borderId="14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190"/>
  <sheetViews>
    <sheetView showGridLines="0" showRowColHeaders="0" tabSelected="1" zoomScale="161" zoomScaleNormal="161" zoomScaleSheetLayoutView="75" workbookViewId="0" topLeftCell="A1">
      <selection activeCell="I19" sqref="I19:I21"/>
    </sheetView>
  </sheetViews>
  <sheetFormatPr defaultColWidth="9.00390625" defaultRowHeight="12.75"/>
  <cols>
    <col min="1" max="1" width="3.625" style="0" customWidth="1"/>
    <col min="2" max="15" width="7.75390625" style="0" customWidth="1"/>
  </cols>
  <sheetData>
    <row r="1" spans="1:30" ht="12.75">
      <c r="A1" s="5"/>
      <c r="B1" s="5"/>
      <c r="C1" s="5"/>
      <c r="D1" s="5"/>
      <c r="E1" s="5"/>
      <c r="F1" s="5"/>
      <c r="G1" s="85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43" t="s">
        <v>1</v>
      </c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5.75">
      <c r="A2" s="66"/>
      <c r="B2" s="66"/>
      <c r="C2" s="68"/>
      <c r="D2" s="67"/>
      <c r="E2" s="66"/>
      <c r="F2" s="68"/>
      <c r="G2" s="69" t="s">
        <v>50</v>
      </c>
      <c r="H2" s="66"/>
      <c r="I2" s="66"/>
      <c r="J2" s="66"/>
      <c r="K2" s="66"/>
      <c r="L2" s="68"/>
      <c r="M2" s="68"/>
      <c r="N2" s="68"/>
      <c r="O2" s="68"/>
      <c r="P2" s="5"/>
      <c r="Q2" s="5"/>
      <c r="R2" s="5"/>
      <c r="S2" s="5"/>
      <c r="T2" s="243" t="s">
        <v>2</v>
      </c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">
      <c r="A3" s="3"/>
      <c r="B3" s="3"/>
      <c r="C3" s="5"/>
      <c r="D3" s="3"/>
      <c r="E3" s="3"/>
      <c r="F3" s="5"/>
      <c r="G3" s="70" t="s">
        <v>51</v>
      </c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3"/>
      <c r="B4" s="5"/>
      <c r="C4" s="3"/>
      <c r="D4" s="3"/>
      <c r="E4" s="3"/>
      <c r="F4" s="3"/>
      <c r="G4" s="84" t="s">
        <v>85</v>
      </c>
      <c r="H4" s="3"/>
      <c r="I4" s="3"/>
      <c r="J4" s="3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8" customHeight="1">
      <c r="A5" s="3"/>
      <c r="B5" s="5"/>
      <c r="C5" s="3"/>
      <c r="D5" s="3"/>
      <c r="E5" s="3"/>
      <c r="F5" s="3"/>
      <c r="G5" s="71" t="s">
        <v>3</v>
      </c>
      <c r="H5" s="3"/>
      <c r="I5" s="3"/>
      <c r="J5" s="3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6.75" customHeight="1">
      <c r="A6" s="3"/>
      <c r="B6" s="4"/>
      <c r="C6" s="3"/>
      <c r="D6" s="3"/>
      <c r="E6" s="3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">
      <c r="A7" s="53"/>
      <c r="B7" s="240" t="s">
        <v>32</v>
      </c>
      <c r="C7" s="241"/>
      <c r="D7" s="241"/>
      <c r="E7" s="241"/>
      <c r="F7" s="241"/>
      <c r="G7" s="241"/>
      <c r="H7" s="241"/>
      <c r="I7" s="241"/>
      <c r="J7" s="241"/>
      <c r="K7" s="241"/>
      <c r="L7" s="242"/>
      <c r="M7" s="242"/>
      <c r="N7" s="61"/>
      <c r="O7" s="6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">
      <c r="A8" s="53"/>
      <c r="B8" s="240" t="s">
        <v>4</v>
      </c>
      <c r="C8" s="241"/>
      <c r="D8" s="241"/>
      <c r="E8" s="241"/>
      <c r="F8" s="241"/>
      <c r="G8" s="241"/>
      <c r="H8" s="241"/>
      <c r="I8" s="241"/>
      <c r="J8" s="241"/>
      <c r="K8" s="241"/>
      <c r="L8" s="242"/>
      <c r="M8" s="242"/>
      <c r="N8" s="61"/>
      <c r="O8" s="6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">
      <c r="A9" s="53"/>
      <c r="B9" s="240" t="s">
        <v>5</v>
      </c>
      <c r="C9" s="241"/>
      <c r="D9" s="241"/>
      <c r="E9" s="241"/>
      <c r="F9" s="241"/>
      <c r="G9" s="241"/>
      <c r="H9" s="241"/>
      <c r="I9" s="241"/>
      <c r="J9" s="241"/>
      <c r="K9" s="241"/>
      <c r="L9" s="242"/>
      <c r="M9" s="242"/>
      <c r="N9" s="61"/>
      <c r="O9" s="6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">
      <c r="A10" s="53"/>
      <c r="B10" s="240" t="s">
        <v>6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  <c r="M10" s="242"/>
      <c r="N10" s="61"/>
      <c r="O10" s="6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3.25" customHeight="1" thickBot="1">
      <c r="A11" s="5"/>
      <c r="B11" s="43" t="s">
        <v>7</v>
      </c>
      <c r="C11" s="5"/>
      <c r="D11" s="6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1" customHeight="1" thickBot="1" thickTop="1">
      <c r="A12" s="5"/>
      <c r="B12" s="305" t="s">
        <v>8</v>
      </c>
      <c r="C12" s="306"/>
      <c r="D12" s="307"/>
      <c r="E12" s="294" t="s">
        <v>9</v>
      </c>
      <c r="F12" s="294" t="s">
        <v>10</v>
      </c>
      <c r="G12" s="291" t="s">
        <v>11</v>
      </c>
      <c r="H12" s="292"/>
      <c r="I12" s="293"/>
      <c r="J12" s="333" t="s">
        <v>102</v>
      </c>
      <c r="K12" s="33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 thickBot="1" thickTop="1">
      <c r="A13" s="5"/>
      <c r="B13" s="308"/>
      <c r="C13" s="309"/>
      <c r="D13" s="310"/>
      <c r="E13" s="295"/>
      <c r="F13" s="295"/>
      <c r="G13" s="60">
        <v>-1</v>
      </c>
      <c r="H13" s="63">
        <v>0</v>
      </c>
      <c r="I13" s="64" t="s">
        <v>12</v>
      </c>
      <c r="J13" s="335"/>
      <c r="K13" s="33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thickTop="1">
      <c r="A14" s="5"/>
      <c r="B14" s="35" t="s">
        <v>105</v>
      </c>
      <c r="C14" s="36"/>
      <c r="D14" s="36"/>
      <c r="E14" s="174" t="s">
        <v>106</v>
      </c>
      <c r="F14" s="25" t="s">
        <v>13</v>
      </c>
      <c r="G14" s="36">
        <v>0</v>
      </c>
      <c r="H14" s="39">
        <v>1</v>
      </c>
      <c r="I14" s="40">
        <v>2</v>
      </c>
      <c r="J14" s="337">
        <f>+I14-H14</f>
        <v>1</v>
      </c>
      <c r="K14" s="33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5"/>
      <c r="B15" s="55" t="s">
        <v>107</v>
      </c>
      <c r="C15" s="56"/>
      <c r="D15" s="56"/>
      <c r="E15" s="175" t="s">
        <v>106</v>
      </c>
      <c r="F15" s="57" t="s">
        <v>14</v>
      </c>
      <c r="G15" s="56">
        <v>0</v>
      </c>
      <c r="H15" s="58">
        <v>0.25</v>
      </c>
      <c r="I15" s="59">
        <v>0.5</v>
      </c>
      <c r="J15" s="339">
        <f>+I15-H15</f>
        <v>0.25</v>
      </c>
      <c r="K15" s="34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 thickBot="1">
      <c r="A16" s="6"/>
      <c r="B16" s="37" t="s">
        <v>108</v>
      </c>
      <c r="C16" s="38"/>
      <c r="D16" s="38"/>
      <c r="E16" s="176" t="s">
        <v>109</v>
      </c>
      <c r="F16" s="26" t="s">
        <v>37</v>
      </c>
      <c r="G16" s="38">
        <v>400</v>
      </c>
      <c r="H16" s="41">
        <v>475</v>
      </c>
      <c r="I16" s="42">
        <v>550</v>
      </c>
      <c r="J16" s="341">
        <f>+I16-H16</f>
        <v>75</v>
      </c>
      <c r="K16" s="34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3.5" thickTop="1">
      <c r="A17" s="6"/>
      <c r="B17" s="6"/>
      <c r="C17" s="6"/>
      <c r="D17" s="6"/>
      <c r="E17" s="6"/>
      <c r="F17" s="6"/>
      <c r="G17" s="6"/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3.5" thickBot="1">
      <c r="A18" s="6"/>
      <c r="B18" s="43" t="s">
        <v>86</v>
      </c>
      <c r="C18" s="6"/>
      <c r="D18" s="6"/>
      <c r="E18" s="6"/>
      <c r="F18" s="5"/>
      <c r="G18" s="6"/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40.5" customHeight="1" thickBot="1" thickTop="1">
      <c r="A19" s="5"/>
      <c r="B19" s="311" t="s">
        <v>15</v>
      </c>
      <c r="C19" s="320" t="s">
        <v>40</v>
      </c>
      <c r="D19" s="321"/>
      <c r="E19" s="322"/>
      <c r="F19" s="288" t="s">
        <v>38</v>
      </c>
      <c r="G19" s="289"/>
      <c r="H19" s="290"/>
      <c r="I19" s="285" t="s">
        <v>35</v>
      </c>
      <c r="J19" s="278" t="s">
        <v>39</v>
      </c>
      <c r="K19" s="7" t="s">
        <v>45</v>
      </c>
      <c r="L19" s="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48" ht="24.75" customHeight="1" thickTop="1">
      <c r="A20" s="5"/>
      <c r="B20" s="312"/>
      <c r="C20" s="314" t="s">
        <v>13</v>
      </c>
      <c r="D20" s="316" t="s">
        <v>14</v>
      </c>
      <c r="E20" s="318" t="s">
        <v>37</v>
      </c>
      <c r="F20" s="72" t="str">
        <f>B14</f>
        <v>С-3</v>
      </c>
      <c r="G20" s="73" t="str">
        <f>B15</f>
        <v>ПВА</v>
      </c>
      <c r="H20" s="74" t="str">
        <f>B16</f>
        <v>Цемент</v>
      </c>
      <c r="I20" s="286"/>
      <c r="J20" s="279"/>
      <c r="K20" s="281" t="s">
        <v>46</v>
      </c>
      <c r="L20" s="282"/>
      <c r="M20" s="28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L20" s="323"/>
      <c r="AM20" s="325" t="s">
        <v>16</v>
      </c>
      <c r="AN20" s="327" t="s">
        <v>77</v>
      </c>
      <c r="AO20" s="329" t="s">
        <v>76</v>
      </c>
      <c r="AP20" s="331" t="s">
        <v>78</v>
      </c>
      <c r="AQ20" s="327" t="s">
        <v>79</v>
      </c>
      <c r="AR20" s="329" t="s">
        <v>80</v>
      </c>
      <c r="AS20" s="331" t="s">
        <v>81</v>
      </c>
      <c r="AT20" s="327" t="s">
        <v>82</v>
      </c>
      <c r="AU20" s="329" t="s">
        <v>83</v>
      </c>
      <c r="AV20" s="329" t="s">
        <v>84</v>
      </c>
    </row>
    <row r="21" spans="1:48" ht="13.5" thickBot="1">
      <c r="A21" s="5"/>
      <c r="B21" s="313"/>
      <c r="C21" s="315"/>
      <c r="D21" s="317"/>
      <c r="E21" s="319"/>
      <c r="F21" s="75" t="str">
        <f>E14</f>
        <v>%</v>
      </c>
      <c r="G21" s="76" t="str">
        <f>E15</f>
        <v>%</v>
      </c>
      <c r="H21" s="103" t="str">
        <f>E16</f>
        <v>кг/м3</v>
      </c>
      <c r="I21" s="287"/>
      <c r="J21" s="280"/>
      <c r="K21" s="281"/>
      <c r="L21" s="282"/>
      <c r="M21" s="28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L21" s="324"/>
      <c r="AM21" s="326"/>
      <c r="AN21" s="328"/>
      <c r="AO21" s="330"/>
      <c r="AP21" s="332"/>
      <c r="AQ21" s="328"/>
      <c r="AR21" s="330"/>
      <c r="AS21" s="332"/>
      <c r="AT21" s="328"/>
      <c r="AU21" s="330"/>
      <c r="AV21" s="330"/>
    </row>
    <row r="22" spans="1:49" ht="12.75" customHeight="1" thickTop="1">
      <c r="A22" s="5"/>
      <c r="B22" s="123">
        <v>1</v>
      </c>
      <c r="C22" s="149">
        <v>1</v>
      </c>
      <c r="D22" s="150">
        <v>1</v>
      </c>
      <c r="E22" s="151">
        <v>1</v>
      </c>
      <c r="F22" s="124">
        <f>I14</f>
        <v>2</v>
      </c>
      <c r="G22" s="125">
        <f>I15</f>
        <v>0.5</v>
      </c>
      <c r="H22" s="126">
        <f>I16</f>
        <v>550</v>
      </c>
      <c r="I22" s="127">
        <v>64.3</v>
      </c>
      <c r="J22" s="168">
        <f>+$L$23+$L$25*C22+$L$26*D22+$L$27*E22+$L$29*C22*C22+$L$30*D22*D22+$L$31*E22*E22+$L$33*C22*D22+$L$34*C22*E22+$L$35*D22*E22</f>
        <v>65.1549500000001</v>
      </c>
      <c r="K22" s="8"/>
      <c r="L22" s="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L22" s="108">
        <v>1</v>
      </c>
      <c r="AM22" s="109">
        <f aca="true" t="shared" si="0" ref="AM22:AM38">+I22</f>
        <v>64.3</v>
      </c>
      <c r="AN22" s="110">
        <f aca="true" t="shared" si="1" ref="AN22:AN38">+C22*I22</f>
        <v>64.3</v>
      </c>
      <c r="AO22" s="111">
        <f aca="true" t="shared" si="2" ref="AO22:AO38">+D22*I22</f>
        <v>64.3</v>
      </c>
      <c r="AP22" s="108">
        <f aca="true" t="shared" si="3" ref="AP22:AP38">+E22*I22</f>
        <v>64.3</v>
      </c>
      <c r="AQ22" s="112">
        <f aca="true" t="shared" si="4" ref="AQ22:AQ38">+C22*C22*I22</f>
        <v>64.3</v>
      </c>
      <c r="AR22" s="111">
        <f aca="true" t="shared" si="5" ref="AR22:AR38">+D22*D22*I22</f>
        <v>64.3</v>
      </c>
      <c r="AS22" s="108">
        <f aca="true" t="shared" si="6" ref="AS22:AS38">+E22*E22*I22</f>
        <v>64.3</v>
      </c>
      <c r="AT22" s="112">
        <f aca="true" t="shared" si="7" ref="AT22:AT38">+I22*C22*D22</f>
        <v>64.3</v>
      </c>
      <c r="AU22" s="112">
        <f aca="true" t="shared" si="8" ref="AU22:AU38">+I22*C22*E22</f>
        <v>64.3</v>
      </c>
      <c r="AV22" s="112">
        <f aca="true" t="shared" si="9" ref="AV22:AV38">+I22*D22*E22</f>
        <v>64.3</v>
      </c>
      <c r="AW22">
        <f aca="true" t="shared" si="10" ref="AW22:AW38">+(I22-J22)^2</f>
        <v>0.730939502500174</v>
      </c>
    </row>
    <row r="23" spans="1:49" ht="12.75" customHeight="1">
      <c r="A23" s="5"/>
      <c r="B23" s="128">
        <v>2</v>
      </c>
      <c r="C23" s="152">
        <v>-1</v>
      </c>
      <c r="D23" s="153">
        <v>1</v>
      </c>
      <c r="E23" s="154">
        <v>1</v>
      </c>
      <c r="F23" s="129">
        <f>G14</f>
        <v>0</v>
      </c>
      <c r="G23" s="130">
        <f>I15</f>
        <v>0.5</v>
      </c>
      <c r="H23" s="131">
        <f>I16</f>
        <v>550</v>
      </c>
      <c r="I23" s="132">
        <v>62</v>
      </c>
      <c r="J23" s="169">
        <f aca="true" t="shared" si="11" ref="J23:J38">+$L$23+$L$25*C23+$L$26*D23+$L$27*E23+$L$29*C23*C23+$L$30*D23*D23+$L$31*E23*E23+$L$33*C23*D23+$L$34*C23*E23+$L$35*D23*E23</f>
        <v>61.814950000000096</v>
      </c>
      <c r="K23" s="62" t="s">
        <v>17</v>
      </c>
      <c r="L23" s="165">
        <f>0.1831*AM39-0.0704*SUM(AQ39:AS39)</f>
        <v>63.48911000000004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L23" s="113">
        <v>2</v>
      </c>
      <c r="AM23" s="114">
        <f t="shared" si="0"/>
        <v>62</v>
      </c>
      <c r="AN23" s="115">
        <f t="shared" si="1"/>
        <v>-62</v>
      </c>
      <c r="AO23" s="116">
        <f t="shared" si="2"/>
        <v>62</v>
      </c>
      <c r="AP23" s="113">
        <f t="shared" si="3"/>
        <v>62</v>
      </c>
      <c r="AQ23" s="117">
        <f t="shared" si="4"/>
        <v>62</v>
      </c>
      <c r="AR23" s="116">
        <f t="shared" si="5"/>
        <v>62</v>
      </c>
      <c r="AS23" s="113">
        <f t="shared" si="6"/>
        <v>62</v>
      </c>
      <c r="AT23" s="117">
        <f t="shared" si="7"/>
        <v>-62</v>
      </c>
      <c r="AU23" s="117">
        <f t="shared" si="8"/>
        <v>-62</v>
      </c>
      <c r="AV23" s="117">
        <f t="shared" si="9"/>
        <v>62</v>
      </c>
      <c r="AW23">
        <f t="shared" si="10"/>
        <v>0.03424350249996464</v>
      </c>
    </row>
    <row r="24" spans="1:49" ht="12.75" customHeight="1">
      <c r="A24" s="5"/>
      <c r="B24" s="128">
        <v>3</v>
      </c>
      <c r="C24" s="152">
        <v>1</v>
      </c>
      <c r="D24" s="155">
        <v>-1</v>
      </c>
      <c r="E24" s="154">
        <v>1</v>
      </c>
      <c r="F24" s="129">
        <f>I14</f>
        <v>2</v>
      </c>
      <c r="G24" s="133">
        <f>G15</f>
        <v>0</v>
      </c>
      <c r="H24" s="131">
        <f>I16</f>
        <v>550</v>
      </c>
      <c r="I24" s="132">
        <v>73</v>
      </c>
      <c r="J24" s="169">
        <f t="shared" si="11"/>
        <v>73.1349500000001</v>
      </c>
      <c r="K24" s="9"/>
      <c r="L24" s="16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L24" s="113">
        <v>3</v>
      </c>
      <c r="AM24" s="114">
        <f t="shared" si="0"/>
        <v>73</v>
      </c>
      <c r="AN24" s="115">
        <f t="shared" si="1"/>
        <v>73</v>
      </c>
      <c r="AO24" s="116">
        <f t="shared" si="2"/>
        <v>-73</v>
      </c>
      <c r="AP24" s="113">
        <f t="shared" si="3"/>
        <v>73</v>
      </c>
      <c r="AQ24" s="117">
        <f t="shared" si="4"/>
        <v>73</v>
      </c>
      <c r="AR24" s="116">
        <f t="shared" si="5"/>
        <v>73</v>
      </c>
      <c r="AS24" s="113">
        <f t="shared" si="6"/>
        <v>73</v>
      </c>
      <c r="AT24" s="117">
        <f t="shared" si="7"/>
        <v>-73</v>
      </c>
      <c r="AU24" s="117">
        <f t="shared" si="8"/>
        <v>73</v>
      </c>
      <c r="AV24" s="117">
        <f t="shared" si="9"/>
        <v>-73</v>
      </c>
      <c r="AW24">
        <f t="shared" si="10"/>
        <v>0.01821150250002778</v>
      </c>
    </row>
    <row r="25" spans="1:49" ht="12.75" customHeight="1">
      <c r="A25" s="5"/>
      <c r="B25" s="128">
        <v>4</v>
      </c>
      <c r="C25" s="152">
        <v>-1</v>
      </c>
      <c r="D25" s="155">
        <v>-1</v>
      </c>
      <c r="E25" s="154">
        <v>1</v>
      </c>
      <c r="F25" s="129">
        <f>G14</f>
        <v>0</v>
      </c>
      <c r="G25" s="133">
        <f>G15</f>
        <v>0</v>
      </c>
      <c r="H25" s="131">
        <f>I16</f>
        <v>550</v>
      </c>
      <c r="I25" s="132">
        <v>65</v>
      </c>
      <c r="J25" s="169">
        <f t="shared" si="11"/>
        <v>65.7949500000001</v>
      </c>
      <c r="K25" s="62" t="s">
        <v>41</v>
      </c>
      <c r="L25" s="165">
        <f>0.1*AN39</f>
        <v>2.7199999999999998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L25" s="113">
        <v>4</v>
      </c>
      <c r="AM25" s="114">
        <f t="shared" si="0"/>
        <v>65</v>
      </c>
      <c r="AN25" s="115">
        <f t="shared" si="1"/>
        <v>-65</v>
      </c>
      <c r="AO25" s="116">
        <f t="shared" si="2"/>
        <v>-65</v>
      </c>
      <c r="AP25" s="113">
        <f t="shared" si="3"/>
        <v>65</v>
      </c>
      <c r="AQ25" s="117">
        <f t="shared" si="4"/>
        <v>65</v>
      </c>
      <c r="AR25" s="116">
        <f t="shared" si="5"/>
        <v>65</v>
      </c>
      <c r="AS25" s="113">
        <f t="shared" si="6"/>
        <v>65</v>
      </c>
      <c r="AT25" s="117">
        <f t="shared" si="7"/>
        <v>65</v>
      </c>
      <c r="AU25" s="117">
        <f t="shared" si="8"/>
        <v>-65</v>
      </c>
      <c r="AV25" s="117">
        <f t="shared" si="9"/>
        <v>-65</v>
      </c>
      <c r="AW25">
        <f t="shared" si="10"/>
        <v>0.6319455025001582</v>
      </c>
    </row>
    <row r="26" spans="1:49" ht="12.75" customHeight="1">
      <c r="A26" s="5"/>
      <c r="B26" s="128">
        <v>5</v>
      </c>
      <c r="C26" s="152">
        <v>1</v>
      </c>
      <c r="D26" s="155">
        <v>1</v>
      </c>
      <c r="E26" s="154">
        <v>-1</v>
      </c>
      <c r="F26" s="129">
        <f>I14</f>
        <v>2</v>
      </c>
      <c r="G26" s="133">
        <f>I15</f>
        <v>0.5</v>
      </c>
      <c r="H26" s="131">
        <f>G16</f>
        <v>400</v>
      </c>
      <c r="I26" s="132">
        <v>54.2</v>
      </c>
      <c r="J26" s="169">
        <f t="shared" si="11"/>
        <v>53.55495000000009</v>
      </c>
      <c r="K26" s="62" t="s">
        <v>42</v>
      </c>
      <c r="L26" s="165">
        <f>0.1*AO39</f>
        <v>-2.7400000000000007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L26" s="113">
        <v>5</v>
      </c>
      <c r="AM26" s="114">
        <f t="shared" si="0"/>
        <v>54.2</v>
      </c>
      <c r="AN26" s="115">
        <f t="shared" si="1"/>
        <v>54.2</v>
      </c>
      <c r="AO26" s="116">
        <f t="shared" si="2"/>
        <v>54.2</v>
      </c>
      <c r="AP26" s="113">
        <f t="shared" si="3"/>
        <v>-54.2</v>
      </c>
      <c r="AQ26" s="117">
        <f t="shared" si="4"/>
        <v>54.2</v>
      </c>
      <c r="AR26" s="116">
        <f t="shared" si="5"/>
        <v>54.2</v>
      </c>
      <c r="AS26" s="113">
        <f t="shared" si="6"/>
        <v>54.2</v>
      </c>
      <c r="AT26" s="117">
        <f t="shared" si="7"/>
        <v>54.2</v>
      </c>
      <c r="AU26" s="117">
        <f t="shared" si="8"/>
        <v>-54.2</v>
      </c>
      <c r="AV26" s="117">
        <f t="shared" si="9"/>
        <v>-54.2</v>
      </c>
      <c r="AW26">
        <f t="shared" si="10"/>
        <v>0.416089502499887</v>
      </c>
    </row>
    <row r="27" spans="1:49" ht="12.75" customHeight="1">
      <c r="A27" s="5"/>
      <c r="B27" s="128">
        <v>6</v>
      </c>
      <c r="C27" s="152">
        <v>-1</v>
      </c>
      <c r="D27" s="155">
        <v>1</v>
      </c>
      <c r="E27" s="154">
        <v>-1</v>
      </c>
      <c r="F27" s="129">
        <f>G14</f>
        <v>0</v>
      </c>
      <c r="G27" s="133">
        <f>I15</f>
        <v>0.5</v>
      </c>
      <c r="H27" s="131">
        <f>G16</f>
        <v>400</v>
      </c>
      <c r="I27" s="132">
        <v>50</v>
      </c>
      <c r="J27" s="169">
        <f t="shared" si="11"/>
        <v>50.0149500000001</v>
      </c>
      <c r="K27" s="9" t="s">
        <v>48</v>
      </c>
      <c r="L27" s="166">
        <f>0.1*AP39</f>
        <v>6.100000000000002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L27" s="113">
        <v>6</v>
      </c>
      <c r="AM27" s="114">
        <f t="shared" si="0"/>
        <v>50</v>
      </c>
      <c r="AN27" s="115">
        <f t="shared" si="1"/>
        <v>-50</v>
      </c>
      <c r="AO27" s="116">
        <f t="shared" si="2"/>
        <v>50</v>
      </c>
      <c r="AP27" s="113">
        <f t="shared" si="3"/>
        <v>-50</v>
      </c>
      <c r="AQ27" s="117">
        <f t="shared" si="4"/>
        <v>50</v>
      </c>
      <c r="AR27" s="116">
        <f t="shared" si="5"/>
        <v>50</v>
      </c>
      <c r="AS27" s="113">
        <f t="shared" si="6"/>
        <v>50</v>
      </c>
      <c r="AT27" s="117">
        <f t="shared" si="7"/>
        <v>-50</v>
      </c>
      <c r="AU27" s="117">
        <f t="shared" si="8"/>
        <v>50</v>
      </c>
      <c r="AV27" s="117">
        <f t="shared" si="9"/>
        <v>-50</v>
      </c>
      <c r="AW27">
        <f t="shared" si="10"/>
        <v>0.0002235025000029417</v>
      </c>
    </row>
    <row r="28" spans="1:49" ht="12.75" customHeight="1">
      <c r="A28" s="5"/>
      <c r="B28" s="128">
        <v>7</v>
      </c>
      <c r="C28" s="152">
        <v>1</v>
      </c>
      <c r="D28" s="155">
        <v>-1</v>
      </c>
      <c r="E28" s="154">
        <v>-1</v>
      </c>
      <c r="F28" s="129">
        <f>I14</f>
        <v>2</v>
      </c>
      <c r="G28" s="133">
        <f>G15</f>
        <v>0</v>
      </c>
      <c r="H28" s="131">
        <f>G16</f>
        <v>400</v>
      </c>
      <c r="I28" s="132">
        <v>60.2</v>
      </c>
      <c r="J28" s="169">
        <f t="shared" si="11"/>
        <v>60.534950000000094</v>
      </c>
      <c r="K28" s="65"/>
      <c r="L28" s="16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L28" s="113">
        <v>7</v>
      </c>
      <c r="AM28" s="114">
        <f t="shared" si="0"/>
        <v>60.2</v>
      </c>
      <c r="AN28" s="115">
        <f t="shared" si="1"/>
        <v>60.2</v>
      </c>
      <c r="AO28" s="116">
        <f t="shared" si="2"/>
        <v>-60.2</v>
      </c>
      <c r="AP28" s="113">
        <f t="shared" si="3"/>
        <v>-60.2</v>
      </c>
      <c r="AQ28" s="117">
        <f t="shared" si="4"/>
        <v>60.2</v>
      </c>
      <c r="AR28" s="116">
        <f t="shared" si="5"/>
        <v>60.2</v>
      </c>
      <c r="AS28" s="113">
        <f t="shared" si="6"/>
        <v>60.2</v>
      </c>
      <c r="AT28" s="117">
        <f t="shared" si="7"/>
        <v>-60.2</v>
      </c>
      <c r="AU28" s="117">
        <f t="shared" si="8"/>
        <v>-60.2</v>
      </c>
      <c r="AV28" s="117">
        <f t="shared" si="9"/>
        <v>60.2</v>
      </c>
      <c r="AW28">
        <f t="shared" si="10"/>
        <v>0.11219150250006134</v>
      </c>
    </row>
    <row r="29" spans="1:49" ht="12.75" customHeight="1" thickBot="1">
      <c r="A29" s="5"/>
      <c r="B29" s="134">
        <v>8</v>
      </c>
      <c r="C29" s="156">
        <v>-1</v>
      </c>
      <c r="D29" s="157">
        <v>-1</v>
      </c>
      <c r="E29" s="158">
        <v>-1</v>
      </c>
      <c r="F29" s="135">
        <f>G14</f>
        <v>0</v>
      </c>
      <c r="G29" s="136">
        <f>G15</f>
        <v>0</v>
      </c>
      <c r="H29" s="137">
        <f>G16</f>
        <v>400</v>
      </c>
      <c r="I29" s="138">
        <v>53.7</v>
      </c>
      <c r="J29" s="170">
        <f t="shared" si="11"/>
        <v>52.9949500000001</v>
      </c>
      <c r="K29" s="62" t="s">
        <v>18</v>
      </c>
      <c r="L29" s="165">
        <f>+-0.0704*AM39+0.5*AQ39-0.1268*SUM(AQ39:AS39)</f>
        <v>-1.5047199999999918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L29" s="118">
        <v>8</v>
      </c>
      <c r="AM29" s="119">
        <f t="shared" si="0"/>
        <v>53.7</v>
      </c>
      <c r="AN29" s="120">
        <f t="shared" si="1"/>
        <v>-53.7</v>
      </c>
      <c r="AO29" s="121">
        <f t="shared" si="2"/>
        <v>-53.7</v>
      </c>
      <c r="AP29" s="118">
        <f t="shared" si="3"/>
        <v>-53.7</v>
      </c>
      <c r="AQ29" s="122">
        <f t="shared" si="4"/>
        <v>53.7</v>
      </c>
      <c r="AR29" s="121">
        <f t="shared" si="5"/>
        <v>53.7</v>
      </c>
      <c r="AS29" s="118">
        <f t="shared" si="6"/>
        <v>53.7</v>
      </c>
      <c r="AT29" s="122">
        <f t="shared" si="7"/>
        <v>53.7</v>
      </c>
      <c r="AU29" s="122">
        <f t="shared" si="8"/>
        <v>53.7</v>
      </c>
      <c r="AV29" s="122">
        <f t="shared" si="9"/>
        <v>53.7</v>
      </c>
      <c r="AW29">
        <f t="shared" si="10"/>
        <v>0.4970955024998597</v>
      </c>
    </row>
    <row r="30" spans="1:49" ht="12.75" customHeight="1" thickTop="1">
      <c r="A30" s="5"/>
      <c r="B30" s="139">
        <v>9</v>
      </c>
      <c r="C30" s="159">
        <v>1</v>
      </c>
      <c r="D30" s="160">
        <v>0</v>
      </c>
      <c r="E30" s="161">
        <v>0</v>
      </c>
      <c r="F30" s="140">
        <f>I14</f>
        <v>2</v>
      </c>
      <c r="G30" s="141">
        <f>H15</f>
        <v>0.25</v>
      </c>
      <c r="H30" s="142">
        <f>H16</f>
        <v>475</v>
      </c>
      <c r="I30" s="143">
        <v>65.8</v>
      </c>
      <c r="J30" s="171">
        <f t="shared" si="11"/>
        <v>64.70439000000005</v>
      </c>
      <c r="K30" s="62" t="s">
        <v>19</v>
      </c>
      <c r="L30" s="165">
        <f>+-0.0704*AM39+0.5*AR39-0.1268*SUM(AQ39:AS39)</f>
        <v>-1.2047199999999805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L30" s="108">
        <v>9</v>
      </c>
      <c r="AM30" s="109">
        <f t="shared" si="0"/>
        <v>65.8</v>
      </c>
      <c r="AN30" s="112">
        <f t="shared" si="1"/>
        <v>65.8</v>
      </c>
      <c r="AO30" s="111">
        <f t="shared" si="2"/>
        <v>0</v>
      </c>
      <c r="AP30" s="108">
        <f t="shared" si="3"/>
        <v>0</v>
      </c>
      <c r="AQ30" s="112">
        <f t="shared" si="4"/>
        <v>65.8</v>
      </c>
      <c r="AR30" s="111">
        <f t="shared" si="5"/>
        <v>0</v>
      </c>
      <c r="AS30" s="108">
        <f t="shared" si="6"/>
        <v>0</v>
      </c>
      <c r="AT30" s="112">
        <f t="shared" si="7"/>
        <v>0</v>
      </c>
      <c r="AU30" s="112">
        <f t="shared" si="8"/>
        <v>0</v>
      </c>
      <c r="AV30" s="112">
        <f t="shared" si="9"/>
        <v>0</v>
      </c>
      <c r="AW30">
        <f t="shared" si="10"/>
        <v>1.2003612720998924</v>
      </c>
    </row>
    <row r="31" spans="1:49" ht="12.75" customHeight="1">
      <c r="A31" s="5"/>
      <c r="B31" s="128">
        <v>10</v>
      </c>
      <c r="C31" s="152">
        <v>-1</v>
      </c>
      <c r="D31" s="155">
        <v>0</v>
      </c>
      <c r="E31" s="154">
        <v>0</v>
      </c>
      <c r="F31" s="129">
        <f>G14</f>
        <v>0</v>
      </c>
      <c r="G31" s="133">
        <f>H15</f>
        <v>0.25</v>
      </c>
      <c r="H31" s="131">
        <f>H16</f>
        <v>475</v>
      </c>
      <c r="I31" s="132">
        <v>59.6</v>
      </c>
      <c r="J31" s="169">
        <f t="shared" si="11"/>
        <v>59.26439000000005</v>
      </c>
      <c r="K31" s="9" t="s">
        <v>49</v>
      </c>
      <c r="L31" s="166">
        <f>-0.0704*AM39+0.5*AS39-0.1268*SUM(AQ39:AS39)</f>
        <v>-0.4047199999999691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L31" s="113">
        <v>10</v>
      </c>
      <c r="AM31" s="114">
        <f t="shared" si="0"/>
        <v>59.6</v>
      </c>
      <c r="AN31" s="117">
        <f t="shared" si="1"/>
        <v>-59.6</v>
      </c>
      <c r="AO31" s="116">
        <f t="shared" si="2"/>
        <v>0</v>
      </c>
      <c r="AP31" s="113">
        <f t="shared" si="3"/>
        <v>0</v>
      </c>
      <c r="AQ31" s="117">
        <f t="shared" si="4"/>
        <v>59.6</v>
      </c>
      <c r="AR31" s="116">
        <f t="shared" si="5"/>
        <v>0</v>
      </c>
      <c r="AS31" s="113">
        <f t="shared" si="6"/>
        <v>0</v>
      </c>
      <c r="AT31" s="117">
        <f t="shared" si="7"/>
        <v>0</v>
      </c>
      <c r="AU31" s="117">
        <f t="shared" si="8"/>
        <v>0</v>
      </c>
      <c r="AV31" s="117">
        <f t="shared" si="9"/>
        <v>0</v>
      </c>
      <c r="AW31">
        <f t="shared" si="10"/>
        <v>0.11263407209996838</v>
      </c>
    </row>
    <row r="32" spans="1:49" ht="12.75" customHeight="1">
      <c r="A32" s="5"/>
      <c r="B32" s="128">
        <v>11</v>
      </c>
      <c r="C32" s="152">
        <v>0</v>
      </c>
      <c r="D32" s="155">
        <v>1</v>
      </c>
      <c r="E32" s="154">
        <v>0</v>
      </c>
      <c r="F32" s="129">
        <f>H14</f>
        <v>1</v>
      </c>
      <c r="G32" s="133">
        <f>I15</f>
        <v>0.5</v>
      </c>
      <c r="H32" s="131">
        <f>H16</f>
        <v>475</v>
      </c>
      <c r="I32" s="132">
        <v>60</v>
      </c>
      <c r="J32" s="169">
        <f t="shared" si="11"/>
        <v>59.54439000000006</v>
      </c>
      <c r="K32" s="65"/>
      <c r="L32" s="167"/>
      <c r="M32" s="5"/>
      <c r="N32" s="5"/>
      <c r="O32" s="5"/>
      <c r="P32" s="5"/>
      <c r="Q32" s="6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L32" s="113">
        <v>11</v>
      </c>
      <c r="AM32" s="114">
        <f t="shared" si="0"/>
        <v>60</v>
      </c>
      <c r="AN32" s="117">
        <f t="shared" si="1"/>
        <v>0</v>
      </c>
      <c r="AO32" s="116">
        <f t="shared" si="2"/>
        <v>60</v>
      </c>
      <c r="AP32" s="113">
        <f t="shared" si="3"/>
        <v>0</v>
      </c>
      <c r="AQ32" s="117">
        <f t="shared" si="4"/>
        <v>0</v>
      </c>
      <c r="AR32" s="116">
        <f t="shared" si="5"/>
        <v>60</v>
      </c>
      <c r="AS32" s="113">
        <f t="shared" si="6"/>
        <v>0</v>
      </c>
      <c r="AT32" s="117">
        <f t="shared" si="7"/>
        <v>0</v>
      </c>
      <c r="AU32" s="117">
        <f t="shared" si="8"/>
        <v>0</v>
      </c>
      <c r="AV32" s="117">
        <f t="shared" si="9"/>
        <v>0</v>
      </c>
      <c r="AW32">
        <f t="shared" si="10"/>
        <v>0.20758047209994826</v>
      </c>
    </row>
    <row r="33" spans="1:49" ht="12.75" customHeight="1">
      <c r="A33" s="5"/>
      <c r="B33" s="128">
        <v>12</v>
      </c>
      <c r="C33" s="152">
        <v>0</v>
      </c>
      <c r="D33" s="155">
        <v>-1</v>
      </c>
      <c r="E33" s="154">
        <v>0</v>
      </c>
      <c r="F33" s="129">
        <f>H14</f>
        <v>1</v>
      </c>
      <c r="G33" s="133">
        <f>G15</f>
        <v>0</v>
      </c>
      <c r="H33" s="131">
        <f>H16</f>
        <v>475</v>
      </c>
      <c r="I33" s="132">
        <v>66</v>
      </c>
      <c r="J33" s="169">
        <f t="shared" si="11"/>
        <v>65.02439000000005</v>
      </c>
      <c r="K33" s="62" t="s">
        <v>20</v>
      </c>
      <c r="L33" s="165">
        <f>0.125*AT39</f>
        <v>-1</v>
      </c>
      <c r="M33" s="5"/>
      <c r="N33" s="5"/>
      <c r="O33" s="5"/>
      <c r="P33" s="5"/>
      <c r="Q33" s="6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L33" s="113">
        <v>12</v>
      </c>
      <c r="AM33" s="114">
        <f t="shared" si="0"/>
        <v>66</v>
      </c>
      <c r="AN33" s="117">
        <f t="shared" si="1"/>
        <v>0</v>
      </c>
      <c r="AO33" s="116">
        <f t="shared" si="2"/>
        <v>-66</v>
      </c>
      <c r="AP33" s="113">
        <f t="shared" si="3"/>
        <v>0</v>
      </c>
      <c r="AQ33" s="117">
        <f t="shared" si="4"/>
        <v>0</v>
      </c>
      <c r="AR33" s="116">
        <f t="shared" si="5"/>
        <v>66</v>
      </c>
      <c r="AS33" s="113">
        <f t="shared" si="6"/>
        <v>0</v>
      </c>
      <c r="AT33" s="117">
        <f t="shared" si="7"/>
        <v>0</v>
      </c>
      <c r="AU33" s="117">
        <f t="shared" si="8"/>
        <v>0</v>
      </c>
      <c r="AV33" s="117">
        <f t="shared" si="9"/>
        <v>0</v>
      </c>
      <c r="AW33">
        <f t="shared" si="10"/>
        <v>0.9518148720998953</v>
      </c>
    </row>
    <row r="34" spans="1:49" ht="12.75" customHeight="1">
      <c r="A34" s="5"/>
      <c r="B34" s="128">
        <v>13</v>
      </c>
      <c r="C34" s="152">
        <v>0</v>
      </c>
      <c r="D34" s="155">
        <v>0</v>
      </c>
      <c r="E34" s="154">
        <v>1</v>
      </c>
      <c r="F34" s="129">
        <f>H14</f>
        <v>1</v>
      </c>
      <c r="G34" s="133">
        <f>H15</f>
        <v>0.25</v>
      </c>
      <c r="H34" s="131">
        <f>I16</f>
        <v>550</v>
      </c>
      <c r="I34" s="132">
        <v>71.2</v>
      </c>
      <c r="J34" s="169">
        <f t="shared" si="11"/>
        <v>69.18439000000008</v>
      </c>
      <c r="K34" s="62" t="s">
        <v>44</v>
      </c>
      <c r="L34" s="166">
        <f>0.125*AU39</f>
        <v>-0.05000000000000071</v>
      </c>
      <c r="M34" s="5"/>
      <c r="N34" s="5"/>
      <c r="O34" s="5"/>
      <c r="P34" s="5"/>
      <c r="Q34" s="6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L34" s="113">
        <v>13</v>
      </c>
      <c r="AM34" s="114">
        <f t="shared" si="0"/>
        <v>71.2</v>
      </c>
      <c r="AN34" s="117">
        <f t="shared" si="1"/>
        <v>0</v>
      </c>
      <c r="AO34" s="116">
        <f t="shared" si="2"/>
        <v>0</v>
      </c>
      <c r="AP34" s="113">
        <f t="shared" si="3"/>
        <v>71.2</v>
      </c>
      <c r="AQ34" s="117">
        <f t="shared" si="4"/>
        <v>0</v>
      </c>
      <c r="AR34" s="116">
        <f t="shared" si="5"/>
        <v>0</v>
      </c>
      <c r="AS34" s="113">
        <f t="shared" si="6"/>
        <v>71.2</v>
      </c>
      <c r="AT34" s="117">
        <f t="shared" si="7"/>
        <v>0</v>
      </c>
      <c r="AU34" s="117">
        <f t="shared" si="8"/>
        <v>0</v>
      </c>
      <c r="AV34" s="117">
        <f t="shared" si="9"/>
        <v>0</v>
      </c>
      <c r="AW34">
        <f t="shared" si="10"/>
        <v>4.062683672099694</v>
      </c>
    </row>
    <row r="35" spans="1:49" ht="12.75" customHeight="1" thickBot="1">
      <c r="A35" s="5"/>
      <c r="B35" s="134">
        <v>14</v>
      </c>
      <c r="C35" s="156">
        <v>0</v>
      </c>
      <c r="D35" s="157">
        <v>0</v>
      </c>
      <c r="E35" s="158">
        <v>-1</v>
      </c>
      <c r="F35" s="135">
        <f>H14</f>
        <v>1</v>
      </c>
      <c r="G35" s="136">
        <f>H15</f>
        <v>0.25</v>
      </c>
      <c r="H35" s="137">
        <f>G16</f>
        <v>400</v>
      </c>
      <c r="I35" s="138">
        <v>56.4</v>
      </c>
      <c r="J35" s="172">
        <f t="shared" si="11"/>
        <v>56.98439000000007</v>
      </c>
      <c r="K35" s="62" t="s">
        <v>43</v>
      </c>
      <c r="L35" s="166">
        <f>0.125*AV39</f>
        <v>-0.25</v>
      </c>
      <c r="M35" s="5"/>
      <c r="N35" s="5"/>
      <c r="O35" s="5"/>
      <c r="P35" s="5"/>
      <c r="Q35" s="6"/>
      <c r="R35" s="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L35" s="118">
        <v>14</v>
      </c>
      <c r="AM35" s="119">
        <f t="shared" si="0"/>
        <v>56.4</v>
      </c>
      <c r="AN35" s="122">
        <f t="shared" si="1"/>
        <v>0</v>
      </c>
      <c r="AO35" s="121">
        <f t="shared" si="2"/>
        <v>0</v>
      </c>
      <c r="AP35" s="118">
        <f t="shared" si="3"/>
        <v>-56.4</v>
      </c>
      <c r="AQ35" s="122">
        <f t="shared" si="4"/>
        <v>0</v>
      </c>
      <c r="AR35" s="121">
        <f t="shared" si="5"/>
        <v>0</v>
      </c>
      <c r="AS35" s="118">
        <f t="shared" si="6"/>
        <v>56.4</v>
      </c>
      <c r="AT35" s="122">
        <f t="shared" si="7"/>
        <v>0</v>
      </c>
      <c r="AU35" s="122">
        <f t="shared" si="8"/>
        <v>0</v>
      </c>
      <c r="AV35" s="122">
        <f t="shared" si="9"/>
        <v>0</v>
      </c>
      <c r="AW35">
        <f t="shared" si="10"/>
        <v>0.341511672100082</v>
      </c>
    </row>
    <row r="36" spans="1:49" ht="12.75" customHeight="1" thickTop="1">
      <c r="A36" s="5"/>
      <c r="B36" s="139">
        <v>15</v>
      </c>
      <c r="C36" s="159">
        <v>0</v>
      </c>
      <c r="D36" s="160">
        <v>0</v>
      </c>
      <c r="E36" s="161">
        <v>0</v>
      </c>
      <c r="F36" s="140">
        <f>H14</f>
        <v>1</v>
      </c>
      <c r="G36" s="141">
        <f>H15</f>
        <v>0.25</v>
      </c>
      <c r="H36" s="142">
        <f>H16</f>
        <v>475</v>
      </c>
      <c r="I36" s="143">
        <v>62.5</v>
      </c>
      <c r="J36" s="173">
        <f t="shared" si="11"/>
        <v>63.48911000000004</v>
      </c>
      <c r="K36" s="65"/>
      <c r="L36" s="6"/>
      <c r="M36" s="5"/>
      <c r="N36" s="5"/>
      <c r="O36" s="5"/>
      <c r="P36" s="5"/>
      <c r="Q36" s="6"/>
      <c r="R36" s="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L36" s="108">
        <v>15</v>
      </c>
      <c r="AM36" s="109">
        <f t="shared" si="0"/>
        <v>62.5</v>
      </c>
      <c r="AN36" s="112">
        <f t="shared" si="1"/>
        <v>0</v>
      </c>
      <c r="AO36" s="111">
        <f t="shared" si="2"/>
        <v>0</v>
      </c>
      <c r="AP36" s="108">
        <f t="shared" si="3"/>
        <v>0</v>
      </c>
      <c r="AQ36" s="112">
        <f t="shared" si="4"/>
        <v>0</v>
      </c>
      <c r="AR36" s="111">
        <f t="shared" si="5"/>
        <v>0</v>
      </c>
      <c r="AS36" s="108">
        <f t="shared" si="6"/>
        <v>0</v>
      </c>
      <c r="AT36" s="112">
        <f t="shared" si="7"/>
        <v>0</v>
      </c>
      <c r="AU36" s="112">
        <f t="shared" si="8"/>
        <v>0</v>
      </c>
      <c r="AV36" s="112">
        <f t="shared" si="9"/>
        <v>0</v>
      </c>
      <c r="AW36">
        <f t="shared" si="10"/>
        <v>0.9783385921000776</v>
      </c>
    </row>
    <row r="37" spans="1:49" ht="12.75" customHeight="1">
      <c r="A37" s="5"/>
      <c r="B37" s="128">
        <v>16</v>
      </c>
      <c r="C37" s="152">
        <v>0</v>
      </c>
      <c r="D37" s="155">
        <v>0</v>
      </c>
      <c r="E37" s="154">
        <v>0</v>
      </c>
      <c r="F37" s="129">
        <f>H14</f>
        <v>1</v>
      </c>
      <c r="G37" s="133">
        <f>H15</f>
        <v>0.25</v>
      </c>
      <c r="H37" s="131">
        <f>H16</f>
        <v>475</v>
      </c>
      <c r="I37" s="132">
        <v>62</v>
      </c>
      <c r="J37" s="169">
        <f t="shared" si="11"/>
        <v>63.48911000000004</v>
      </c>
      <c r="K37" s="177" t="s">
        <v>33</v>
      </c>
      <c r="L37" s="178">
        <f>MAX(J22:J38)</f>
        <v>73.1349500000001</v>
      </c>
      <c r="M37" s="5"/>
      <c r="N37" s="5"/>
      <c r="O37" s="5"/>
      <c r="P37" s="5"/>
      <c r="Q37" s="6"/>
      <c r="R37" s="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L37" s="113">
        <v>16</v>
      </c>
      <c r="AM37" s="114">
        <f t="shared" si="0"/>
        <v>62</v>
      </c>
      <c r="AN37" s="117">
        <f t="shared" si="1"/>
        <v>0</v>
      </c>
      <c r="AO37" s="116">
        <f t="shared" si="2"/>
        <v>0</v>
      </c>
      <c r="AP37" s="113">
        <f t="shared" si="3"/>
        <v>0</v>
      </c>
      <c r="AQ37" s="117">
        <f t="shared" si="4"/>
        <v>0</v>
      </c>
      <c r="AR37" s="116">
        <f t="shared" si="5"/>
        <v>0</v>
      </c>
      <c r="AS37" s="113">
        <f t="shared" si="6"/>
        <v>0</v>
      </c>
      <c r="AT37" s="117">
        <f t="shared" si="7"/>
        <v>0</v>
      </c>
      <c r="AU37" s="117">
        <f t="shared" si="8"/>
        <v>0</v>
      </c>
      <c r="AV37" s="117">
        <f t="shared" si="9"/>
        <v>0</v>
      </c>
      <c r="AW37">
        <f t="shared" si="10"/>
        <v>2.217448592100117</v>
      </c>
    </row>
    <row r="38" spans="1:49" ht="12.75" customHeight="1" thickBot="1">
      <c r="A38" s="5"/>
      <c r="B38" s="144">
        <v>17</v>
      </c>
      <c r="C38" s="162">
        <v>0</v>
      </c>
      <c r="D38" s="163">
        <v>0</v>
      </c>
      <c r="E38" s="164">
        <v>0</v>
      </c>
      <c r="F38" s="145">
        <f>H14</f>
        <v>1</v>
      </c>
      <c r="G38" s="146">
        <f>H15</f>
        <v>0.25</v>
      </c>
      <c r="H38" s="147">
        <f>H16</f>
        <v>475</v>
      </c>
      <c r="I38" s="148">
        <v>63</v>
      </c>
      <c r="J38" s="172">
        <f t="shared" si="11"/>
        <v>63.48911000000004</v>
      </c>
      <c r="K38" s="177" t="s">
        <v>34</v>
      </c>
      <c r="L38" s="178">
        <f>MIN(J22:J38)</f>
        <v>50.0149500000001</v>
      </c>
      <c r="M38" s="5"/>
      <c r="N38" s="5"/>
      <c r="O38" s="5"/>
      <c r="P38" s="5"/>
      <c r="Q38" s="6"/>
      <c r="R38" s="6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L38" s="118">
        <v>17</v>
      </c>
      <c r="AM38" s="119">
        <f t="shared" si="0"/>
        <v>63</v>
      </c>
      <c r="AN38" s="122">
        <f t="shared" si="1"/>
        <v>0</v>
      </c>
      <c r="AO38" s="121">
        <f t="shared" si="2"/>
        <v>0</v>
      </c>
      <c r="AP38" s="118">
        <f t="shared" si="3"/>
        <v>0</v>
      </c>
      <c r="AQ38" s="122">
        <f t="shared" si="4"/>
        <v>0</v>
      </c>
      <c r="AR38" s="121">
        <f t="shared" si="5"/>
        <v>0</v>
      </c>
      <c r="AS38" s="118">
        <f t="shared" si="6"/>
        <v>0</v>
      </c>
      <c r="AT38" s="122">
        <f t="shared" si="7"/>
        <v>0</v>
      </c>
      <c r="AU38" s="122">
        <f t="shared" si="8"/>
        <v>0</v>
      </c>
      <c r="AV38" s="122">
        <f t="shared" si="9"/>
        <v>0</v>
      </c>
      <c r="AW38">
        <f t="shared" si="10"/>
        <v>0.23922859210003838</v>
      </c>
    </row>
    <row r="39" spans="1:50" ht="16.5" thickTop="1">
      <c r="A39" s="5"/>
      <c r="B39" s="5"/>
      <c r="C39" s="5"/>
      <c r="D39" s="5"/>
      <c r="E39" s="9" t="s">
        <v>21</v>
      </c>
      <c r="F39" s="11">
        <f>IF(AX39&gt;AX41,(AX39/AX41),(AX41/AX39))</f>
        <v>12.74744285175915</v>
      </c>
      <c r="G39" s="9" t="s">
        <v>22</v>
      </c>
      <c r="H39" s="10">
        <f>FINV(0.05,6,2)</f>
        <v>19.32953401547175</v>
      </c>
      <c r="I39" s="5"/>
      <c r="J39" s="5"/>
      <c r="K39" s="5"/>
      <c r="L39" s="5"/>
      <c r="M39" s="5"/>
      <c r="N39" s="5"/>
      <c r="O39" s="5"/>
      <c r="P39" s="5"/>
      <c r="Q39" s="6"/>
      <c r="R39" s="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L39" s="104" t="s">
        <v>23</v>
      </c>
      <c r="AM39" s="105">
        <f>SUM(AM22:AM38)</f>
        <v>1048.9</v>
      </c>
      <c r="AN39" s="106">
        <f aca="true" t="shared" si="12" ref="AN39:AV39">+SUM(AN22:AN38)</f>
        <v>27.199999999999996</v>
      </c>
      <c r="AO39" s="107">
        <f t="shared" si="12"/>
        <v>-27.400000000000006</v>
      </c>
      <c r="AP39" s="107">
        <f t="shared" si="12"/>
        <v>61.00000000000002</v>
      </c>
      <c r="AQ39" s="107">
        <f t="shared" si="12"/>
        <v>607.8</v>
      </c>
      <c r="AR39" s="107">
        <f t="shared" si="12"/>
        <v>608.4</v>
      </c>
      <c r="AS39" s="107">
        <f t="shared" si="12"/>
        <v>610</v>
      </c>
      <c r="AT39" s="107">
        <f t="shared" si="12"/>
        <v>-8</v>
      </c>
      <c r="AU39" s="107">
        <f t="shared" si="12"/>
        <v>-0.4000000000000057</v>
      </c>
      <c r="AV39" s="107">
        <f t="shared" si="12"/>
        <v>-2</v>
      </c>
      <c r="AW39" s="1" t="s">
        <v>24</v>
      </c>
      <c r="AX39" s="2">
        <f>VAR(I36:I38)+0.0001</f>
        <v>0.2501</v>
      </c>
    </row>
    <row r="40" spans="1:50" ht="6" customHeight="1">
      <c r="A40" s="5"/>
      <c r="B40" s="5"/>
      <c r="C40" s="5"/>
      <c r="D40" s="5"/>
      <c r="E40" s="9"/>
      <c r="F40" s="11"/>
      <c r="G40" s="9"/>
      <c r="H40" s="10"/>
      <c r="I40" s="5"/>
      <c r="J40" s="5"/>
      <c r="K40" s="5"/>
      <c r="L40" s="5"/>
      <c r="M40" s="5"/>
      <c r="N40" s="5"/>
      <c r="O40" s="5"/>
      <c r="P40" s="5"/>
      <c r="Q40" s="6"/>
      <c r="R40" s="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L40" s="179"/>
      <c r="AM40" s="180"/>
      <c r="AN40" s="180"/>
      <c r="AO40" s="180"/>
      <c r="AP40" s="180"/>
      <c r="AQ40" s="180"/>
      <c r="AR40" s="180"/>
      <c r="AS40" s="180"/>
      <c r="AT40" s="180"/>
      <c r="AU40" s="180"/>
      <c r="AV40" s="5"/>
      <c r="AW40" s="181"/>
      <c r="AX40" s="2"/>
    </row>
    <row r="41" spans="1:50" ht="15.75">
      <c r="A41" s="5"/>
      <c r="B41" s="5"/>
      <c r="C41" s="5"/>
      <c r="D41" s="272" t="str">
        <f>IF(F39&lt;H39,"Т.к. Fрасч &lt; Fтабл","Т.к. Fрасч &gt; Fтабл")</f>
        <v>Т.к. Fрасч &lt; Fтабл</v>
      </c>
      <c r="E41" s="273"/>
      <c r="F41" s="274" t="s">
        <v>36</v>
      </c>
      <c r="G41" s="275"/>
      <c r="H41" s="283" t="str">
        <f>IF(H39&gt;F39,"адекватно","неадекватно")</f>
        <v>адекватно</v>
      </c>
      <c r="I41" s="284"/>
      <c r="J41" s="5"/>
      <c r="K41" s="5"/>
      <c r="L41" s="5"/>
      <c r="M41" s="5"/>
      <c r="N41" s="5"/>
      <c r="O41" s="5"/>
      <c r="P41" s="5"/>
      <c r="Q41" s="6"/>
      <c r="R41" s="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L41" s="6"/>
      <c r="AM41" s="5"/>
      <c r="AN41" s="6"/>
      <c r="AO41" s="5"/>
      <c r="AP41" s="5"/>
      <c r="AQ41" s="5"/>
      <c r="AR41" s="5"/>
      <c r="AS41" s="5"/>
      <c r="AT41" s="5"/>
      <c r="AU41" s="5"/>
      <c r="AV41" s="5"/>
      <c r="AW41" s="181" t="s">
        <v>25</v>
      </c>
      <c r="AX41" s="2">
        <f>SUM(AW22:AW38)/(11-5-2)</f>
        <v>3.188135457224963</v>
      </c>
    </row>
    <row r="42" spans="1:50" ht="12.75">
      <c r="A42" s="5"/>
      <c r="B42" s="29"/>
      <c r="C42" s="30"/>
      <c r="D42" s="27"/>
      <c r="E42" s="28"/>
      <c r="F42" s="31"/>
      <c r="G42" s="32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L42" s="6"/>
      <c r="AM42" s="6"/>
      <c r="AN42" s="6"/>
      <c r="AO42" s="5"/>
      <c r="AP42" s="5"/>
      <c r="AQ42" s="5"/>
      <c r="AR42" s="5"/>
      <c r="AS42" s="5"/>
      <c r="AT42" s="5"/>
      <c r="AU42" s="5"/>
      <c r="AV42" s="5"/>
      <c r="AW42" s="65"/>
      <c r="AX42" s="2"/>
    </row>
    <row r="43" spans="1:31" ht="12.75">
      <c r="A43" s="44"/>
      <c r="B43" s="45"/>
      <c r="C43" s="46"/>
      <c r="D43" s="47"/>
      <c r="E43" s="44"/>
      <c r="F43" s="44"/>
      <c r="G43" s="51" t="s">
        <v>26</v>
      </c>
      <c r="H43" s="44"/>
      <c r="I43" s="44"/>
      <c r="J43" s="44"/>
      <c r="K43" s="44"/>
      <c r="L43" s="44"/>
      <c r="M43" s="44"/>
      <c r="N43" s="44"/>
      <c r="O43" s="5"/>
      <c r="P43" s="5"/>
      <c r="Q43" s="6"/>
      <c r="R43" s="6"/>
      <c r="S43" s="6"/>
      <c r="T43" s="6"/>
      <c r="U43" s="6"/>
      <c r="V43" s="5"/>
      <c r="W43" s="5"/>
      <c r="X43" s="5"/>
      <c r="Y43" s="5"/>
      <c r="Z43" s="5"/>
      <c r="AA43" s="5"/>
      <c r="AB43" s="5"/>
      <c r="AC43" s="5"/>
      <c r="AD43" s="65"/>
      <c r="AE43" s="2"/>
    </row>
    <row r="44" spans="1:31" ht="6" customHeight="1">
      <c r="A44" s="44"/>
      <c r="B44" s="45"/>
      <c r="C44" s="46"/>
      <c r="D44" s="47"/>
      <c r="E44" s="49"/>
      <c r="F44" s="50"/>
      <c r="G44" s="48"/>
      <c r="H44" s="44"/>
      <c r="I44" s="44"/>
      <c r="J44" s="44"/>
      <c r="K44" s="44"/>
      <c r="L44" s="44"/>
      <c r="M44" s="44"/>
      <c r="N44" s="44"/>
      <c r="O44" s="5"/>
      <c r="P44" s="5"/>
      <c r="Q44" s="6"/>
      <c r="R44" s="6"/>
      <c r="S44" s="6"/>
      <c r="T44" s="6"/>
      <c r="U44" s="6"/>
      <c r="V44" s="5"/>
      <c r="W44" s="5"/>
      <c r="X44" s="5"/>
      <c r="Y44" s="5"/>
      <c r="Z44" s="5"/>
      <c r="AA44" s="5"/>
      <c r="AB44" s="5"/>
      <c r="AC44" s="5"/>
      <c r="AD44" s="65"/>
      <c r="AE44" s="2"/>
    </row>
    <row r="45" spans="1:31" ht="17.25">
      <c r="A45" s="44"/>
      <c r="B45" s="45"/>
      <c r="C45" s="46"/>
      <c r="D45" s="47"/>
      <c r="E45" s="49"/>
      <c r="F45" s="44"/>
      <c r="G45" s="52" t="s">
        <v>47</v>
      </c>
      <c r="H45" s="44"/>
      <c r="I45" s="44"/>
      <c r="J45" s="44"/>
      <c r="K45" s="44"/>
      <c r="L45" s="44"/>
      <c r="M45" s="44"/>
      <c r="N45" s="44"/>
      <c r="O45" s="5"/>
      <c r="P45" s="5"/>
      <c r="Q45" s="6"/>
      <c r="R45" s="6"/>
      <c r="S45" s="6"/>
      <c r="T45" s="6"/>
      <c r="U45" s="6"/>
      <c r="V45" s="5"/>
      <c r="W45" s="5"/>
      <c r="X45" s="5"/>
      <c r="Y45" s="5"/>
      <c r="Z45" s="5"/>
      <c r="AA45" s="5"/>
      <c r="AB45" s="5"/>
      <c r="AC45" s="5"/>
      <c r="AD45" s="65"/>
      <c r="AE45" s="2"/>
    </row>
    <row r="46" spans="1:31" ht="4.5" customHeight="1">
      <c r="A46" s="44"/>
      <c r="B46" s="45"/>
      <c r="C46" s="46"/>
      <c r="D46" s="47"/>
      <c r="E46" s="49"/>
      <c r="F46" s="52"/>
      <c r="G46" s="48"/>
      <c r="H46" s="44"/>
      <c r="I46" s="44"/>
      <c r="J46" s="44"/>
      <c r="K46" s="44"/>
      <c r="L46" s="44"/>
      <c r="M46" s="44"/>
      <c r="N46" s="44"/>
      <c r="O46" s="5"/>
      <c r="P46" s="5"/>
      <c r="Q46" s="6"/>
      <c r="R46" s="6"/>
      <c r="S46" s="6"/>
      <c r="T46" s="6"/>
      <c r="U46" s="6"/>
      <c r="V46" s="5"/>
      <c r="W46" s="5"/>
      <c r="X46" s="5"/>
      <c r="Y46" s="5"/>
      <c r="Z46" s="5"/>
      <c r="AA46" s="5"/>
      <c r="AB46" s="5"/>
      <c r="AC46" s="5"/>
      <c r="AD46" s="65"/>
      <c r="AE46" s="2"/>
    </row>
    <row r="47" spans="1:30" ht="24.75" customHeight="1">
      <c r="A47" s="5"/>
      <c r="B47" s="12"/>
      <c r="C47" s="5"/>
      <c r="D47" s="12"/>
      <c r="E47" s="5"/>
      <c r="F47" s="5"/>
      <c r="G47" s="13" t="s">
        <v>27</v>
      </c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6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>
      <c r="A48" s="5"/>
      <c r="B48" s="5"/>
      <c r="C48" s="5"/>
      <c r="D48" s="5"/>
      <c r="E48" s="5"/>
      <c r="F48" s="5"/>
      <c r="G48" s="13" t="s">
        <v>52</v>
      </c>
      <c r="H48" s="5"/>
      <c r="I48" s="14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  <c r="U48" s="6"/>
      <c r="V48" s="5"/>
      <c r="W48" s="5"/>
      <c r="X48" s="5"/>
      <c r="Y48" s="5"/>
      <c r="Z48" s="5"/>
      <c r="AA48" s="5"/>
      <c r="AB48" s="5"/>
      <c r="AC48" s="5"/>
      <c r="AD48" s="5"/>
    </row>
    <row r="49" spans="1:30" ht="6" customHeight="1" thickBot="1">
      <c r="A49" s="5"/>
      <c r="B49" s="5"/>
      <c r="C49" s="5"/>
      <c r="D49" s="5"/>
      <c r="E49" s="5"/>
      <c r="F49" s="5"/>
      <c r="G49" s="13"/>
      <c r="H49" s="5"/>
      <c r="I49" s="14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  <c r="U49" s="6"/>
      <c r="V49" s="5"/>
      <c r="W49" s="5"/>
      <c r="X49" s="5"/>
      <c r="Y49" s="5"/>
      <c r="Z49" s="5"/>
      <c r="AA49" s="5"/>
      <c r="AB49" s="5"/>
      <c r="AC49" s="5"/>
      <c r="AD49" s="5"/>
    </row>
    <row r="50" spans="1:30" ht="14.25" thickBot="1" thickTop="1">
      <c r="A50" s="5"/>
      <c r="B50" s="54" t="s">
        <v>31</v>
      </c>
      <c r="C50" s="5"/>
      <c r="D50" s="12"/>
      <c r="E50" s="5"/>
      <c r="F50" s="5"/>
      <c r="G50" s="5"/>
      <c r="H50" s="5"/>
      <c r="I50" s="5"/>
      <c r="J50" s="276" t="s">
        <v>75</v>
      </c>
      <c r="K50" s="277"/>
      <c r="L50" s="5"/>
      <c r="M50" s="5"/>
      <c r="N50" s="5"/>
      <c r="O50" s="5"/>
      <c r="P50" s="5"/>
      <c r="Q50" s="6"/>
      <c r="R50" s="6"/>
      <c r="S50" s="6"/>
      <c r="T50" s="6"/>
      <c r="U50" s="6"/>
      <c r="V50" s="5"/>
      <c r="W50" s="5"/>
      <c r="X50" s="5"/>
      <c r="Y50" s="5"/>
      <c r="Z50" s="5"/>
      <c r="AA50" s="5"/>
      <c r="AB50" s="5"/>
      <c r="AC50" s="5"/>
      <c r="AD50" s="5"/>
    </row>
    <row r="51" spans="1:30" ht="13.5" thickTop="1">
      <c r="A51" s="5"/>
      <c r="B51" s="77" t="s">
        <v>53</v>
      </c>
      <c r="C51" s="78"/>
      <c r="D51" s="78"/>
      <c r="E51" s="78"/>
      <c r="F51" s="78"/>
      <c r="G51" s="78"/>
      <c r="H51" s="79" t="str">
        <f>+E14</f>
        <v>%</v>
      </c>
      <c r="I51" s="33">
        <v>1</v>
      </c>
      <c r="J51" s="17" t="s">
        <v>28</v>
      </c>
      <c r="K51" s="21">
        <f>+(I51-H14)/J14</f>
        <v>0</v>
      </c>
      <c r="L51" s="244" t="str">
        <f>+B14</f>
        <v>С-3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>
      <c r="A52" s="5"/>
      <c r="B52" s="80" t="s">
        <v>54</v>
      </c>
      <c r="C52" s="81"/>
      <c r="D52" s="81"/>
      <c r="E52" s="81"/>
      <c r="F52" s="81"/>
      <c r="G52" s="81"/>
      <c r="H52" s="82" t="str">
        <f>+E15</f>
        <v>%</v>
      </c>
      <c r="I52" s="34">
        <v>0</v>
      </c>
      <c r="J52" s="18" t="s">
        <v>29</v>
      </c>
      <c r="K52" s="22">
        <f>+(I52-H15)/J15</f>
        <v>-1</v>
      </c>
      <c r="L52" s="244" t="str">
        <f>+B15</f>
        <v>ПВА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3.5" thickBot="1">
      <c r="A53" s="5"/>
      <c r="B53" s="80" t="s">
        <v>55</v>
      </c>
      <c r="C53" s="81"/>
      <c r="D53" s="81"/>
      <c r="E53" s="81"/>
      <c r="F53" s="81"/>
      <c r="G53" s="81"/>
      <c r="H53" s="83" t="str">
        <f>+E16</f>
        <v>кг/м3</v>
      </c>
      <c r="I53" s="34">
        <v>550</v>
      </c>
      <c r="J53" s="18" t="s">
        <v>29</v>
      </c>
      <c r="K53" s="22">
        <f>+(I53-H16)/J16</f>
        <v>1</v>
      </c>
      <c r="L53" s="244" t="str">
        <f>+B16</f>
        <v>Цемент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 thickBot="1" thickTop="1">
      <c r="A54" s="5"/>
      <c r="B54" s="24" t="s">
        <v>30</v>
      </c>
      <c r="C54" s="19"/>
      <c r="D54" s="19"/>
      <c r="E54" s="19"/>
      <c r="F54" s="19"/>
      <c r="G54" s="19"/>
      <c r="H54" s="20"/>
      <c r="I54" s="23">
        <f>+$L$23+$L$25*K51+$L$26*K52+$L$27*K53+$L$29*K51*K51+$L$30*K52*K52+$L$31*K53*K53+$L$33*K51*K52+$L$34*K51*K53+$L$35*K52*K53</f>
        <v>70.9696700000001</v>
      </c>
      <c r="J54" s="15"/>
      <c r="K54" s="1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3.5" thickTop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21" s="86" customFormat="1" ht="12.75">
      <c r="A57" s="239"/>
      <c r="H57" s="238" t="s">
        <v>100</v>
      </c>
      <c r="O57" s="239"/>
      <c r="P57" s="239"/>
      <c r="Q57" s="239"/>
      <c r="R57" s="239"/>
      <c r="S57" s="239"/>
      <c r="T57" s="239"/>
      <c r="U57" s="239"/>
    </row>
    <row r="58" spans="1:30" ht="13.5" thickBot="1">
      <c r="A58" s="5"/>
      <c r="B58" s="54" t="s">
        <v>101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2.75" customHeight="1">
      <c r="A59" s="5"/>
      <c r="B59" s="299" t="s">
        <v>87</v>
      </c>
      <c r="C59" s="303" t="s">
        <v>8</v>
      </c>
      <c r="D59" s="304"/>
      <c r="E59" s="300" t="s">
        <v>89</v>
      </c>
      <c r="F59" s="301"/>
      <c r="G59" s="301"/>
      <c r="H59" s="301"/>
      <c r="I59" s="301"/>
      <c r="J59" s="301"/>
      <c r="K59" s="301"/>
      <c r="L59" s="301"/>
      <c r="M59" s="301"/>
      <c r="N59" s="30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20.25" thickBot="1">
      <c r="A60" s="5"/>
      <c r="B60" s="271"/>
      <c r="C60" s="184" t="s">
        <v>10</v>
      </c>
      <c r="D60" s="188" t="s">
        <v>88</v>
      </c>
      <c r="E60" s="228" t="s">
        <v>90</v>
      </c>
      <c r="F60" s="224" t="s">
        <v>91</v>
      </c>
      <c r="G60" s="195" t="s">
        <v>92</v>
      </c>
      <c r="H60" s="215" t="s">
        <v>93</v>
      </c>
      <c r="I60" s="224" t="s">
        <v>94</v>
      </c>
      <c r="J60" s="196" t="s">
        <v>95</v>
      </c>
      <c r="K60" s="194" t="s">
        <v>96</v>
      </c>
      <c r="L60" s="195" t="s">
        <v>97</v>
      </c>
      <c r="M60" s="196" t="s">
        <v>98</v>
      </c>
      <c r="N60" s="194" t="s">
        <v>99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2.75">
      <c r="A61" s="5"/>
      <c r="B61" s="189">
        <v>1</v>
      </c>
      <c r="C61" s="296" t="s">
        <v>13</v>
      </c>
      <c r="D61" s="187">
        <v>1</v>
      </c>
      <c r="E61" s="229">
        <f>+$L$23+$L$25*D61+$L$29*D61*D61</f>
        <v>64.70439000000005</v>
      </c>
      <c r="F61" s="206"/>
      <c r="G61" s="197">
        <f>$L$26+$L$33*D61</f>
        <v>-3.7400000000000007</v>
      </c>
      <c r="H61" s="216">
        <f>$L$27+$L$34*D61</f>
        <v>6.050000000000002</v>
      </c>
      <c r="I61" s="206"/>
      <c r="J61" s="198">
        <f>$L$30</f>
        <v>-1.2047199999999805</v>
      </c>
      <c r="K61" s="199">
        <f>$L$31</f>
        <v>-0.4047199999999691</v>
      </c>
      <c r="L61" s="197"/>
      <c r="M61" s="198"/>
      <c r="N61" s="199">
        <f>$L$35</f>
        <v>-0.25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2.75">
      <c r="A62" s="5"/>
      <c r="B62" s="190">
        <v>2</v>
      </c>
      <c r="C62" s="297"/>
      <c r="D62" s="182">
        <v>0</v>
      </c>
      <c r="E62" s="230">
        <f>+$L$23+$L$25*D62+$L$29*D62*D62</f>
        <v>63.48911000000004</v>
      </c>
      <c r="F62" s="210"/>
      <c r="G62" s="200">
        <f>$L$26+$L$33*D62</f>
        <v>-2.7400000000000007</v>
      </c>
      <c r="H62" s="217">
        <f>$L$27+$L$34*D62</f>
        <v>6.100000000000002</v>
      </c>
      <c r="I62" s="210"/>
      <c r="J62" s="201">
        <f>$L$30</f>
        <v>-1.2047199999999805</v>
      </c>
      <c r="K62" s="202">
        <f>$L$31</f>
        <v>-0.4047199999999691</v>
      </c>
      <c r="L62" s="200"/>
      <c r="M62" s="201"/>
      <c r="N62" s="202">
        <f>$L$35</f>
        <v>-0.25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3.5" thickBot="1">
      <c r="A63" s="5"/>
      <c r="B63" s="191">
        <v>3</v>
      </c>
      <c r="C63" s="298"/>
      <c r="D63" s="183">
        <v>-1</v>
      </c>
      <c r="E63" s="231">
        <f>+$L$23+$L$25*D63+$L$29*D63*D63</f>
        <v>59.26439000000005</v>
      </c>
      <c r="F63" s="211"/>
      <c r="G63" s="203">
        <f>$L$26+$L$33*D63</f>
        <v>-1.7400000000000007</v>
      </c>
      <c r="H63" s="218">
        <f>$L$27+$L$34*D63</f>
        <v>6.150000000000003</v>
      </c>
      <c r="I63" s="211"/>
      <c r="J63" s="204">
        <f>$L$30</f>
        <v>-1.2047199999999805</v>
      </c>
      <c r="K63" s="205">
        <f>$L$31</f>
        <v>-0.4047199999999691</v>
      </c>
      <c r="L63" s="203"/>
      <c r="M63" s="204"/>
      <c r="N63" s="205">
        <f>$L$35</f>
        <v>-0.25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2.75">
      <c r="A64" s="5"/>
      <c r="B64" s="192">
        <v>4</v>
      </c>
      <c r="C64" s="296" t="s">
        <v>14</v>
      </c>
      <c r="D64" s="186">
        <v>1</v>
      </c>
      <c r="E64" s="232">
        <f>+$L$23+$L$26*D64+$L$30*D64*D64</f>
        <v>59.54439000000006</v>
      </c>
      <c r="F64" s="225">
        <f>$L$25+$L$33*D64</f>
        <v>1.7199999999999998</v>
      </c>
      <c r="G64" s="223"/>
      <c r="H64" s="219">
        <f>+$L$27+$L$35*D64</f>
        <v>5.850000000000002</v>
      </c>
      <c r="I64" s="225">
        <f aca="true" t="shared" si="13" ref="I64:I69">+$L$29</f>
        <v>-1.5047199999999918</v>
      </c>
      <c r="J64" s="208"/>
      <c r="K64" s="226">
        <f>+$L$31</f>
        <v>-0.4047199999999691</v>
      </c>
      <c r="L64" s="223"/>
      <c r="M64" s="207">
        <f aca="true" t="shared" si="14" ref="M64:M69">+$L$34</f>
        <v>-0.05000000000000071</v>
      </c>
      <c r="N64" s="209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2.75">
      <c r="A65" s="5"/>
      <c r="B65" s="190">
        <v>5</v>
      </c>
      <c r="C65" s="297"/>
      <c r="D65" s="182">
        <v>0</v>
      </c>
      <c r="E65" s="233">
        <f>+$L$23+$L$26*D65+$L$30*D65*D65</f>
        <v>63.48911000000004</v>
      </c>
      <c r="F65" s="225">
        <f>$L$25+$L$33*D65</f>
        <v>2.7199999999999998</v>
      </c>
      <c r="G65" s="223"/>
      <c r="H65" s="219">
        <f>+$L$27+$L$35*D65</f>
        <v>6.100000000000002</v>
      </c>
      <c r="I65" s="225">
        <f t="shared" si="13"/>
        <v>-1.5047199999999918</v>
      </c>
      <c r="J65" s="208"/>
      <c r="K65" s="226">
        <f>+$L$31</f>
        <v>-0.4047199999999691</v>
      </c>
      <c r="L65" s="223"/>
      <c r="M65" s="207">
        <f t="shared" si="14"/>
        <v>-0.05000000000000071</v>
      </c>
      <c r="N65" s="209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3.5" thickBot="1">
      <c r="A66" s="5"/>
      <c r="B66" s="193">
        <v>6</v>
      </c>
      <c r="C66" s="298"/>
      <c r="D66" s="185">
        <v>-1</v>
      </c>
      <c r="E66" s="234">
        <f>+$L$23+$L$26*D66+$L$30*D66*D66</f>
        <v>65.02439000000005</v>
      </c>
      <c r="F66" s="225">
        <f>$L$25+$L$33*D66</f>
        <v>3.7199999999999998</v>
      </c>
      <c r="G66" s="223"/>
      <c r="H66" s="219">
        <f>+$L$27+$L$35*D66</f>
        <v>6.350000000000002</v>
      </c>
      <c r="I66" s="227">
        <f t="shared" si="13"/>
        <v>-1.5047199999999918</v>
      </c>
      <c r="J66" s="208"/>
      <c r="K66" s="226">
        <f>+$L$31</f>
        <v>-0.4047199999999691</v>
      </c>
      <c r="L66" s="223"/>
      <c r="M66" s="207">
        <f t="shared" si="14"/>
        <v>-0.05000000000000071</v>
      </c>
      <c r="N66" s="209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2.75">
      <c r="A67" s="5"/>
      <c r="B67" s="189">
        <v>7</v>
      </c>
      <c r="C67" s="296" t="s">
        <v>37</v>
      </c>
      <c r="D67" s="187">
        <v>1</v>
      </c>
      <c r="E67" s="232">
        <f>+$L$23+$L$27*D67+$L$31*D67*D67</f>
        <v>69.18439000000008</v>
      </c>
      <c r="F67" s="235">
        <f>+$L$25+$L$34*D67</f>
        <v>2.669999999999999</v>
      </c>
      <c r="G67" s="197">
        <f>+$L$26+$L$35*D67</f>
        <v>-2.9900000000000007</v>
      </c>
      <c r="H67" s="220"/>
      <c r="I67" s="206">
        <f t="shared" si="13"/>
        <v>-1.5047199999999918</v>
      </c>
      <c r="J67" s="198">
        <f>$L$30</f>
        <v>-1.2047199999999805</v>
      </c>
      <c r="K67" s="212"/>
      <c r="L67" s="197">
        <f>+$L$33</f>
        <v>-1</v>
      </c>
      <c r="M67" s="198">
        <f t="shared" si="14"/>
        <v>-0.05000000000000071</v>
      </c>
      <c r="N67" s="212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2.75">
      <c r="A68" s="5"/>
      <c r="B68" s="190">
        <v>8</v>
      </c>
      <c r="C68" s="297"/>
      <c r="D68" s="182">
        <v>0</v>
      </c>
      <c r="E68" s="233">
        <f>+$L$23+$L$26*D68+$L$30*D68*D68</f>
        <v>63.48911000000004</v>
      </c>
      <c r="F68" s="236">
        <f>+$L$25+$L$34*D68</f>
        <v>2.7199999999999998</v>
      </c>
      <c r="G68" s="200">
        <f>+$L$26+$L$35*D68</f>
        <v>-2.7400000000000007</v>
      </c>
      <c r="H68" s="221"/>
      <c r="I68" s="210">
        <f t="shared" si="13"/>
        <v>-1.5047199999999918</v>
      </c>
      <c r="J68" s="201">
        <f>$L$30</f>
        <v>-1.2047199999999805</v>
      </c>
      <c r="K68" s="213"/>
      <c r="L68" s="200">
        <f>+$L$33</f>
        <v>-1</v>
      </c>
      <c r="M68" s="201">
        <f t="shared" si="14"/>
        <v>-0.05000000000000071</v>
      </c>
      <c r="N68" s="21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3.5" thickBot="1">
      <c r="A69" s="5"/>
      <c r="B69" s="191">
        <v>9</v>
      </c>
      <c r="C69" s="298"/>
      <c r="D69" s="183">
        <v>-1</v>
      </c>
      <c r="E69" s="234">
        <f>+$L$23+$L$27*D69+$L$31*D69*D69</f>
        <v>56.98439000000007</v>
      </c>
      <c r="F69" s="237">
        <f>+$L$25+$L$34*D69</f>
        <v>2.7700000000000005</v>
      </c>
      <c r="G69" s="203">
        <f>+$L$26+$L$35*D69</f>
        <v>-2.4900000000000007</v>
      </c>
      <c r="H69" s="222"/>
      <c r="I69" s="211">
        <f t="shared" si="13"/>
        <v>-1.5047199999999918</v>
      </c>
      <c r="J69" s="204">
        <f>$L$30</f>
        <v>-1.2047199999999805</v>
      </c>
      <c r="K69" s="214"/>
      <c r="L69" s="203">
        <f>+$L$33</f>
        <v>-1</v>
      </c>
      <c r="M69" s="204">
        <f t="shared" si="14"/>
        <v>-0.05000000000000071</v>
      </c>
      <c r="N69" s="21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2.75">
      <c r="A71" s="5"/>
      <c r="B71" s="32"/>
      <c r="C71" s="32"/>
      <c r="D71" s="32"/>
      <c r="E71" s="32"/>
      <c r="F71" s="32"/>
      <c r="G71" s="32"/>
      <c r="H71" s="259"/>
      <c r="I71" s="32"/>
      <c r="J71" s="32"/>
      <c r="K71" s="32"/>
      <c r="L71" s="32"/>
      <c r="M71" s="3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2.75">
      <c r="A72" s="5"/>
      <c r="B72" s="32"/>
      <c r="C72" s="32"/>
      <c r="D72" s="32"/>
      <c r="E72" s="261"/>
      <c r="F72" s="261"/>
      <c r="G72" s="261"/>
      <c r="H72" s="261"/>
      <c r="I72" s="265"/>
      <c r="J72" s="265"/>
      <c r="K72" s="179"/>
      <c r="L72" s="32"/>
      <c r="M72" s="3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2.75">
      <c r="A73" s="5"/>
      <c r="B73" s="32"/>
      <c r="C73" s="32"/>
      <c r="D73" s="32"/>
      <c r="E73" s="261"/>
      <c r="F73" s="266"/>
      <c r="G73" s="266"/>
      <c r="H73" s="266"/>
      <c r="I73" s="266"/>
      <c r="J73" s="266"/>
      <c r="K73" s="179"/>
      <c r="L73" s="32"/>
      <c r="M73" s="3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2.75">
      <c r="A74" s="5"/>
      <c r="B74" s="32"/>
      <c r="C74" s="32"/>
      <c r="D74" s="32"/>
      <c r="E74" s="261"/>
      <c r="F74" s="266"/>
      <c r="G74" s="266"/>
      <c r="H74" s="266"/>
      <c r="I74" s="266"/>
      <c r="J74" s="266"/>
      <c r="K74" s="179"/>
      <c r="L74" s="32"/>
      <c r="M74" s="32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2.75">
      <c r="A75" s="5"/>
      <c r="B75" s="260"/>
      <c r="C75" s="32"/>
      <c r="D75" s="261"/>
      <c r="E75" s="261"/>
      <c r="F75" s="266"/>
      <c r="G75" s="266"/>
      <c r="H75" s="266"/>
      <c r="I75" s="266"/>
      <c r="J75" s="266"/>
      <c r="K75" s="179"/>
      <c r="L75" s="262"/>
      <c r="M75" s="26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2.75">
      <c r="A76" s="5"/>
      <c r="B76" s="32"/>
      <c r="C76" s="32"/>
      <c r="D76" s="32"/>
      <c r="E76" s="265"/>
      <c r="F76" s="266"/>
      <c r="G76" s="266"/>
      <c r="H76" s="266"/>
      <c r="I76" s="266"/>
      <c r="J76" s="266"/>
      <c r="K76" s="179"/>
      <c r="L76" s="262"/>
      <c r="M76" s="26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2.75">
      <c r="A77" s="5"/>
      <c r="B77" s="32"/>
      <c r="C77" s="32"/>
      <c r="D77" s="32"/>
      <c r="E77" s="265"/>
      <c r="F77" s="266"/>
      <c r="G77" s="266"/>
      <c r="H77" s="266"/>
      <c r="I77" s="266"/>
      <c r="J77" s="266"/>
      <c r="K77" s="179"/>
      <c r="L77" s="32"/>
      <c r="M77" s="32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6.75" customHeight="1">
      <c r="A78" s="5"/>
      <c r="B78" s="32"/>
      <c r="C78" s="32"/>
      <c r="D78" s="264"/>
      <c r="E78" s="264"/>
      <c r="F78" s="264"/>
      <c r="G78" s="264"/>
      <c r="H78" s="264"/>
      <c r="I78" s="264"/>
      <c r="J78" s="264"/>
      <c r="K78" s="179"/>
      <c r="L78" s="32"/>
      <c r="M78" s="32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2.75">
      <c r="A79" s="5"/>
      <c r="B79" s="32"/>
      <c r="C79" s="32"/>
      <c r="D79" s="32"/>
      <c r="E79" s="261"/>
      <c r="F79" s="266"/>
      <c r="G79" s="266"/>
      <c r="H79" s="266"/>
      <c r="I79" s="266"/>
      <c r="J79" s="266"/>
      <c r="K79" s="179"/>
      <c r="L79" s="32"/>
      <c r="M79" s="3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2.75">
      <c r="A80" s="5"/>
      <c r="B80" s="32"/>
      <c r="C80" s="32"/>
      <c r="D80" s="32"/>
      <c r="E80" s="261"/>
      <c r="F80" s="266"/>
      <c r="G80" s="266"/>
      <c r="H80" s="266"/>
      <c r="I80" s="266"/>
      <c r="J80" s="266"/>
      <c r="K80" s="179"/>
      <c r="L80" s="32"/>
      <c r="M80" s="3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2.75">
      <c r="A81" s="5"/>
      <c r="B81" s="260"/>
      <c r="C81" s="32"/>
      <c r="D81" s="261"/>
      <c r="E81" s="261"/>
      <c r="F81" s="266"/>
      <c r="G81" s="266"/>
      <c r="H81" s="266"/>
      <c r="I81" s="266"/>
      <c r="J81" s="266"/>
      <c r="K81" s="179"/>
      <c r="L81" s="262"/>
      <c r="M81" s="26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>
      <c r="A82" s="5"/>
      <c r="B82" s="32"/>
      <c r="C82" s="32"/>
      <c r="D82" s="32"/>
      <c r="E82" s="265"/>
      <c r="F82" s="266"/>
      <c r="G82" s="266"/>
      <c r="H82" s="266"/>
      <c r="I82" s="266"/>
      <c r="J82" s="266"/>
      <c r="K82" s="179"/>
      <c r="L82" s="262"/>
      <c r="M82" s="26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>
      <c r="A83" s="5"/>
      <c r="B83" s="32"/>
      <c r="C83" s="32"/>
      <c r="D83" s="32"/>
      <c r="E83" s="265"/>
      <c r="F83" s="266"/>
      <c r="G83" s="266"/>
      <c r="H83" s="266"/>
      <c r="I83" s="266"/>
      <c r="J83" s="266"/>
      <c r="K83" s="179"/>
      <c r="L83" s="32"/>
      <c r="M83" s="3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6.75" customHeight="1">
      <c r="A84" s="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2.75">
      <c r="A85" s="5"/>
      <c r="B85" s="32"/>
      <c r="C85" s="32"/>
      <c r="D85" s="32"/>
      <c r="E85" s="261"/>
      <c r="F85" s="266"/>
      <c r="G85" s="266"/>
      <c r="H85" s="266"/>
      <c r="I85" s="266"/>
      <c r="J85" s="266"/>
      <c r="K85" s="179"/>
      <c r="L85" s="32"/>
      <c r="M85" s="3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2.75">
      <c r="A86" s="5"/>
      <c r="B86" s="32"/>
      <c r="C86" s="32"/>
      <c r="D86" s="32"/>
      <c r="E86" s="261"/>
      <c r="F86" s="266"/>
      <c r="G86" s="266"/>
      <c r="H86" s="266"/>
      <c r="I86" s="266"/>
      <c r="J86" s="266"/>
      <c r="K86" s="179"/>
      <c r="L86" s="32"/>
      <c r="M86" s="32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>
      <c r="A87" s="5"/>
      <c r="B87" s="260"/>
      <c r="C87" s="32"/>
      <c r="D87" s="261"/>
      <c r="E87" s="261"/>
      <c r="F87" s="266"/>
      <c r="G87" s="266"/>
      <c r="H87" s="266"/>
      <c r="I87" s="266"/>
      <c r="J87" s="266"/>
      <c r="K87" s="179"/>
      <c r="L87" s="262"/>
      <c r="M87" s="26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>
      <c r="A88" s="5"/>
      <c r="B88" s="32"/>
      <c r="C88" s="32"/>
      <c r="D88" s="32"/>
      <c r="E88" s="265"/>
      <c r="F88" s="266"/>
      <c r="G88" s="266"/>
      <c r="H88" s="266"/>
      <c r="I88" s="266"/>
      <c r="J88" s="266"/>
      <c r="K88" s="179"/>
      <c r="L88" s="262"/>
      <c r="M88" s="26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2.75">
      <c r="A89" s="5"/>
      <c r="B89" s="32"/>
      <c r="C89" s="32"/>
      <c r="D89" s="32"/>
      <c r="E89" s="265"/>
      <c r="F89" s="266"/>
      <c r="G89" s="266"/>
      <c r="H89" s="266"/>
      <c r="I89" s="266"/>
      <c r="J89" s="266"/>
      <c r="K89" s="179"/>
      <c r="L89" s="32"/>
      <c r="M89" s="32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.75">
      <c r="A90" s="5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2.75">
      <c r="A91" s="5"/>
      <c r="B91" s="32"/>
      <c r="C91" s="32"/>
      <c r="D91" s="32"/>
      <c r="E91" s="32"/>
      <c r="F91" s="32"/>
      <c r="G91" s="32"/>
      <c r="H91" s="259"/>
      <c r="I91" s="32"/>
      <c r="J91" s="32"/>
      <c r="K91" s="32"/>
      <c r="L91" s="32"/>
      <c r="M91" s="3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5"/>
      <c r="B92" s="32"/>
      <c r="C92" s="32"/>
      <c r="D92" s="32"/>
      <c r="E92" s="261"/>
      <c r="F92" s="261"/>
      <c r="G92" s="261"/>
      <c r="H92" s="261"/>
      <c r="I92" s="265"/>
      <c r="J92" s="265"/>
      <c r="K92" s="179"/>
      <c r="L92" s="32"/>
      <c r="M92" s="32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5"/>
      <c r="B93" s="32"/>
      <c r="C93" s="32"/>
      <c r="D93" s="32"/>
      <c r="E93" s="261"/>
      <c r="F93" s="266"/>
      <c r="G93" s="266"/>
      <c r="H93" s="266"/>
      <c r="I93" s="266"/>
      <c r="J93" s="266"/>
      <c r="K93" s="179"/>
      <c r="L93" s="32"/>
      <c r="M93" s="3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5"/>
      <c r="B94" s="32"/>
      <c r="C94" s="32"/>
      <c r="D94" s="32"/>
      <c r="E94" s="261"/>
      <c r="F94" s="266"/>
      <c r="G94" s="266"/>
      <c r="H94" s="266"/>
      <c r="I94" s="266"/>
      <c r="J94" s="266"/>
      <c r="K94" s="179"/>
      <c r="L94" s="32"/>
      <c r="M94" s="32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5"/>
      <c r="B95" s="260"/>
      <c r="C95" s="32"/>
      <c r="D95" s="261"/>
      <c r="E95" s="261"/>
      <c r="F95" s="266"/>
      <c r="G95" s="266"/>
      <c r="H95" s="266"/>
      <c r="I95" s="266"/>
      <c r="J95" s="266"/>
      <c r="K95" s="179"/>
      <c r="L95" s="262"/>
      <c r="M95" s="26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5"/>
      <c r="B96" s="32"/>
      <c r="C96" s="32"/>
      <c r="D96" s="32"/>
      <c r="E96" s="265"/>
      <c r="F96" s="266"/>
      <c r="G96" s="266"/>
      <c r="H96" s="266"/>
      <c r="I96" s="266"/>
      <c r="J96" s="266"/>
      <c r="K96" s="179"/>
      <c r="L96" s="262"/>
      <c r="M96" s="26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5"/>
      <c r="B97" s="32"/>
      <c r="C97" s="32"/>
      <c r="D97" s="32"/>
      <c r="E97" s="265"/>
      <c r="F97" s="266"/>
      <c r="G97" s="266"/>
      <c r="H97" s="266"/>
      <c r="I97" s="266"/>
      <c r="J97" s="266"/>
      <c r="K97" s="179"/>
      <c r="L97" s="32"/>
      <c r="M97" s="3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6.75" customHeight="1">
      <c r="A98" s="5"/>
      <c r="B98" s="32"/>
      <c r="C98" s="32"/>
      <c r="D98" s="264"/>
      <c r="E98" s="264"/>
      <c r="F98" s="264"/>
      <c r="G98" s="264"/>
      <c r="H98" s="264"/>
      <c r="I98" s="264"/>
      <c r="J98" s="264"/>
      <c r="K98" s="179"/>
      <c r="L98" s="32"/>
      <c r="M98" s="3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5"/>
      <c r="B99" s="32"/>
      <c r="C99" s="32"/>
      <c r="D99" s="32"/>
      <c r="E99" s="261"/>
      <c r="F99" s="266"/>
      <c r="G99" s="266"/>
      <c r="H99" s="266"/>
      <c r="I99" s="266"/>
      <c r="J99" s="266"/>
      <c r="K99" s="179"/>
      <c r="L99" s="32"/>
      <c r="M99" s="32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5"/>
      <c r="B100" s="32"/>
      <c r="C100" s="32"/>
      <c r="D100" s="32"/>
      <c r="E100" s="261"/>
      <c r="F100" s="266"/>
      <c r="G100" s="266"/>
      <c r="H100" s="266"/>
      <c r="I100" s="266"/>
      <c r="J100" s="266"/>
      <c r="K100" s="179"/>
      <c r="L100" s="32"/>
      <c r="M100" s="3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5"/>
      <c r="B101" s="260"/>
      <c r="C101" s="32"/>
      <c r="D101" s="261"/>
      <c r="E101" s="261"/>
      <c r="F101" s="266"/>
      <c r="G101" s="266"/>
      <c r="H101" s="266"/>
      <c r="I101" s="266"/>
      <c r="J101" s="266"/>
      <c r="K101" s="179"/>
      <c r="L101" s="262"/>
      <c r="M101" s="26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5"/>
      <c r="B102" s="32"/>
      <c r="C102" s="32"/>
      <c r="D102" s="32"/>
      <c r="E102" s="265"/>
      <c r="F102" s="266"/>
      <c r="G102" s="266"/>
      <c r="H102" s="266"/>
      <c r="I102" s="266"/>
      <c r="J102" s="266"/>
      <c r="K102" s="179"/>
      <c r="L102" s="262"/>
      <c r="M102" s="26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5"/>
      <c r="B103" s="32"/>
      <c r="C103" s="32"/>
      <c r="D103" s="32"/>
      <c r="E103" s="265"/>
      <c r="F103" s="266"/>
      <c r="G103" s="266"/>
      <c r="H103" s="266"/>
      <c r="I103" s="266"/>
      <c r="J103" s="266"/>
      <c r="K103" s="179"/>
      <c r="L103" s="32"/>
      <c r="M103" s="3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6.75" customHeight="1">
      <c r="A104" s="5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5"/>
      <c r="B105" s="32"/>
      <c r="C105" s="32"/>
      <c r="D105" s="32"/>
      <c r="E105" s="261"/>
      <c r="F105" s="266"/>
      <c r="G105" s="266"/>
      <c r="H105" s="266"/>
      <c r="I105" s="266"/>
      <c r="J105" s="266"/>
      <c r="K105" s="179"/>
      <c r="L105" s="32"/>
      <c r="M105" s="3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5"/>
      <c r="B106" s="32"/>
      <c r="C106" s="32"/>
      <c r="D106" s="32"/>
      <c r="E106" s="261"/>
      <c r="F106" s="266"/>
      <c r="G106" s="266"/>
      <c r="H106" s="266"/>
      <c r="I106" s="266"/>
      <c r="J106" s="266"/>
      <c r="K106" s="179"/>
      <c r="L106" s="32"/>
      <c r="M106" s="3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5"/>
      <c r="B107" s="260"/>
      <c r="C107" s="32"/>
      <c r="D107" s="261"/>
      <c r="E107" s="261"/>
      <c r="F107" s="266"/>
      <c r="G107" s="266"/>
      <c r="H107" s="266"/>
      <c r="I107" s="266"/>
      <c r="J107" s="266"/>
      <c r="K107" s="179"/>
      <c r="L107" s="262"/>
      <c r="M107" s="26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5"/>
      <c r="B108" s="32"/>
      <c r="C108" s="32"/>
      <c r="D108" s="32"/>
      <c r="E108" s="265"/>
      <c r="F108" s="266"/>
      <c r="G108" s="266"/>
      <c r="H108" s="266"/>
      <c r="I108" s="266"/>
      <c r="J108" s="266"/>
      <c r="K108" s="179"/>
      <c r="L108" s="262"/>
      <c r="M108" s="26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5"/>
      <c r="B109" s="32"/>
      <c r="C109" s="32"/>
      <c r="D109" s="32"/>
      <c r="E109" s="265"/>
      <c r="F109" s="266"/>
      <c r="G109" s="266"/>
      <c r="H109" s="266"/>
      <c r="I109" s="266"/>
      <c r="J109" s="266"/>
      <c r="K109" s="179"/>
      <c r="L109" s="32"/>
      <c r="M109" s="32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5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5"/>
      <c r="B111" s="32"/>
      <c r="C111" s="32"/>
      <c r="D111" s="32"/>
      <c r="E111" s="32"/>
      <c r="F111" s="32"/>
      <c r="G111" s="32"/>
      <c r="H111" s="259"/>
      <c r="I111" s="32"/>
      <c r="J111" s="32"/>
      <c r="K111" s="32"/>
      <c r="L111" s="32"/>
      <c r="M111" s="3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5"/>
      <c r="B112" s="32"/>
      <c r="C112" s="32"/>
      <c r="D112" s="32"/>
      <c r="E112" s="261"/>
      <c r="F112" s="261"/>
      <c r="G112" s="261"/>
      <c r="H112" s="261"/>
      <c r="I112" s="265"/>
      <c r="J112" s="265"/>
      <c r="K112" s="179"/>
      <c r="L112" s="32"/>
      <c r="M112" s="3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5"/>
      <c r="B113" s="32"/>
      <c r="C113" s="32"/>
      <c r="D113" s="32"/>
      <c r="E113" s="261"/>
      <c r="F113" s="266"/>
      <c r="G113" s="266"/>
      <c r="H113" s="266"/>
      <c r="I113" s="266"/>
      <c r="J113" s="266"/>
      <c r="K113" s="179"/>
      <c r="L113" s="32"/>
      <c r="M113" s="3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5"/>
      <c r="B114" s="32"/>
      <c r="C114" s="32"/>
      <c r="D114" s="32"/>
      <c r="E114" s="261"/>
      <c r="F114" s="266"/>
      <c r="G114" s="266"/>
      <c r="H114" s="266"/>
      <c r="I114" s="266"/>
      <c r="J114" s="266"/>
      <c r="K114" s="179"/>
      <c r="L114" s="32"/>
      <c r="M114" s="3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5"/>
      <c r="B115" s="260"/>
      <c r="C115" s="32"/>
      <c r="D115" s="261"/>
      <c r="E115" s="261"/>
      <c r="F115" s="266"/>
      <c r="G115" s="266"/>
      <c r="H115" s="266"/>
      <c r="I115" s="266"/>
      <c r="J115" s="266"/>
      <c r="K115" s="179"/>
      <c r="L115" s="262"/>
      <c r="M115" s="263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5"/>
      <c r="B116" s="32"/>
      <c r="C116" s="32"/>
      <c r="D116" s="32"/>
      <c r="E116" s="265"/>
      <c r="F116" s="266"/>
      <c r="G116" s="266"/>
      <c r="H116" s="266"/>
      <c r="I116" s="266"/>
      <c r="J116" s="266"/>
      <c r="K116" s="179"/>
      <c r="L116" s="262"/>
      <c r="M116" s="263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5"/>
      <c r="B117" s="32"/>
      <c r="C117" s="32"/>
      <c r="D117" s="32"/>
      <c r="E117" s="265"/>
      <c r="F117" s="266"/>
      <c r="G117" s="266"/>
      <c r="H117" s="266"/>
      <c r="I117" s="266"/>
      <c r="J117" s="266"/>
      <c r="K117" s="179"/>
      <c r="L117" s="32"/>
      <c r="M117" s="3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6.75" customHeight="1">
      <c r="A118" s="5"/>
      <c r="B118" s="32"/>
      <c r="C118" s="32"/>
      <c r="D118" s="264"/>
      <c r="E118" s="264"/>
      <c r="F118" s="264"/>
      <c r="G118" s="264"/>
      <c r="H118" s="264"/>
      <c r="I118" s="264"/>
      <c r="J118" s="264"/>
      <c r="K118" s="179"/>
      <c r="L118" s="32"/>
      <c r="M118" s="3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5"/>
      <c r="B119" s="32"/>
      <c r="C119" s="32"/>
      <c r="D119" s="32"/>
      <c r="E119" s="261"/>
      <c r="F119" s="266"/>
      <c r="G119" s="266"/>
      <c r="H119" s="266"/>
      <c r="I119" s="266"/>
      <c r="J119" s="266"/>
      <c r="K119" s="179"/>
      <c r="L119" s="32"/>
      <c r="M119" s="3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>
      <c r="A120" s="5"/>
      <c r="B120" s="32"/>
      <c r="C120" s="32"/>
      <c r="D120" s="32"/>
      <c r="E120" s="261"/>
      <c r="F120" s="266"/>
      <c r="G120" s="266"/>
      <c r="H120" s="266"/>
      <c r="I120" s="266"/>
      <c r="J120" s="266"/>
      <c r="K120" s="179"/>
      <c r="L120" s="32"/>
      <c r="M120" s="3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5"/>
      <c r="B121" s="260"/>
      <c r="C121" s="32"/>
      <c r="D121" s="261"/>
      <c r="E121" s="261"/>
      <c r="F121" s="266"/>
      <c r="G121" s="266"/>
      <c r="H121" s="266"/>
      <c r="I121" s="266"/>
      <c r="J121" s="266"/>
      <c r="K121" s="179"/>
      <c r="L121" s="262"/>
      <c r="M121" s="263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5"/>
      <c r="B122" s="32"/>
      <c r="C122" s="32"/>
      <c r="D122" s="32"/>
      <c r="E122" s="265"/>
      <c r="F122" s="266"/>
      <c r="G122" s="266"/>
      <c r="H122" s="266"/>
      <c r="I122" s="266"/>
      <c r="J122" s="266"/>
      <c r="K122" s="179"/>
      <c r="L122" s="262"/>
      <c r="M122" s="263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5"/>
      <c r="B123" s="32"/>
      <c r="C123" s="32"/>
      <c r="D123" s="32"/>
      <c r="E123" s="265"/>
      <c r="F123" s="266"/>
      <c r="G123" s="266"/>
      <c r="H123" s="266"/>
      <c r="I123" s="266"/>
      <c r="J123" s="266"/>
      <c r="K123" s="179"/>
      <c r="L123" s="32"/>
      <c r="M123" s="3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6.75" customHeight="1">
      <c r="A124" s="5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5"/>
      <c r="B125" s="32"/>
      <c r="C125" s="32"/>
      <c r="D125" s="32"/>
      <c r="E125" s="261"/>
      <c r="F125" s="266"/>
      <c r="G125" s="266"/>
      <c r="H125" s="266"/>
      <c r="I125" s="266"/>
      <c r="J125" s="266"/>
      <c r="K125" s="179"/>
      <c r="L125" s="32"/>
      <c r="M125" s="3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5"/>
      <c r="B126" s="32"/>
      <c r="C126" s="32"/>
      <c r="D126" s="32"/>
      <c r="E126" s="261"/>
      <c r="F126" s="266"/>
      <c r="G126" s="266"/>
      <c r="H126" s="266"/>
      <c r="I126" s="266"/>
      <c r="J126" s="266"/>
      <c r="K126" s="179"/>
      <c r="L126" s="32"/>
      <c r="M126" s="3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5"/>
      <c r="B127" s="260"/>
      <c r="C127" s="32"/>
      <c r="D127" s="261"/>
      <c r="E127" s="261"/>
      <c r="F127" s="266"/>
      <c r="G127" s="266"/>
      <c r="H127" s="266"/>
      <c r="I127" s="266"/>
      <c r="J127" s="266"/>
      <c r="K127" s="179"/>
      <c r="L127" s="262"/>
      <c r="M127" s="263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5"/>
      <c r="B128" s="32"/>
      <c r="C128" s="32"/>
      <c r="D128" s="32"/>
      <c r="E128" s="265"/>
      <c r="F128" s="266"/>
      <c r="G128" s="266"/>
      <c r="H128" s="266"/>
      <c r="I128" s="266"/>
      <c r="J128" s="266"/>
      <c r="K128" s="179"/>
      <c r="L128" s="262"/>
      <c r="M128" s="263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5"/>
      <c r="B129" s="32"/>
      <c r="C129" s="32"/>
      <c r="D129" s="32"/>
      <c r="E129" s="265"/>
      <c r="F129" s="266"/>
      <c r="G129" s="266"/>
      <c r="H129" s="266"/>
      <c r="I129" s="266"/>
      <c r="J129" s="266"/>
      <c r="K129" s="179"/>
      <c r="L129" s="32"/>
      <c r="M129" s="32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5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5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5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5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5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5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5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</sheetData>
  <sheetProtection password="CF42" sheet="1" objects="1" scenarios="1"/>
  <mergeCells count="36">
    <mergeCell ref="J12:K13"/>
    <mergeCell ref="J14:K14"/>
    <mergeCell ref="J15:K15"/>
    <mergeCell ref="J16:K16"/>
    <mergeCell ref="AT20:AT21"/>
    <mergeCell ref="AU20:AU21"/>
    <mergeCell ref="AV20:AV21"/>
    <mergeCell ref="AP20:AP21"/>
    <mergeCell ref="AQ20:AQ21"/>
    <mergeCell ref="AR20:AR21"/>
    <mergeCell ref="AS20:AS21"/>
    <mergeCell ref="AL20:AL21"/>
    <mergeCell ref="AM20:AM21"/>
    <mergeCell ref="AN20:AN21"/>
    <mergeCell ref="AO20:AO21"/>
    <mergeCell ref="B19:B21"/>
    <mergeCell ref="C20:C21"/>
    <mergeCell ref="D20:D21"/>
    <mergeCell ref="E20:E21"/>
    <mergeCell ref="C19:E19"/>
    <mergeCell ref="G12:I12"/>
    <mergeCell ref="F12:F13"/>
    <mergeCell ref="C67:C69"/>
    <mergeCell ref="B59:B60"/>
    <mergeCell ref="E59:N59"/>
    <mergeCell ref="C59:D59"/>
    <mergeCell ref="C61:C63"/>
    <mergeCell ref="C64:C66"/>
    <mergeCell ref="B12:D13"/>
    <mergeCell ref="E12:E13"/>
    <mergeCell ref="J50:K50"/>
    <mergeCell ref="J19:J21"/>
    <mergeCell ref="K20:M21"/>
    <mergeCell ref="H41:I41"/>
    <mergeCell ref="I19:I21"/>
    <mergeCell ref="F19:H19"/>
  </mergeCells>
  <printOptions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scale="90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53"/>
  <sheetViews>
    <sheetView showRowColHeaders="0" zoomScale="182" zoomScaleNormal="182" workbookViewId="0" topLeftCell="A1">
      <selection activeCell="K16" sqref="K16"/>
    </sheetView>
  </sheetViews>
  <sheetFormatPr defaultColWidth="9.00390625" defaultRowHeight="12.75"/>
  <cols>
    <col min="1" max="1" width="7.75390625" style="0" customWidth="1"/>
  </cols>
  <sheetData>
    <row r="1" spans="1:16" ht="6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0" ht="12.75">
      <c r="A2" s="86"/>
      <c r="B2" s="86"/>
      <c r="C2" s="86"/>
      <c r="D2" s="86"/>
      <c r="E2" s="68"/>
      <c r="F2" s="87" t="s">
        <v>56</v>
      </c>
      <c r="G2" s="86"/>
      <c r="H2" s="86"/>
      <c r="I2" s="86"/>
      <c r="J2" s="86"/>
      <c r="K2" s="68"/>
      <c r="L2" s="68"/>
      <c r="M2" s="44"/>
      <c r="N2" s="44"/>
      <c r="O2" s="44"/>
      <c r="P2" s="44"/>
      <c r="T2" t="s">
        <v>104</v>
      </c>
    </row>
    <row r="3" spans="1:16" ht="12.75">
      <c r="A3" s="86"/>
      <c r="B3" s="86"/>
      <c r="C3" s="86"/>
      <c r="D3" s="86"/>
      <c r="E3" s="68"/>
      <c r="F3" s="87" t="s">
        <v>57</v>
      </c>
      <c r="G3" s="86"/>
      <c r="H3" s="86"/>
      <c r="I3" s="86"/>
      <c r="J3" s="86"/>
      <c r="K3" s="68"/>
      <c r="L3" s="68"/>
      <c r="M3" s="44"/>
      <c r="N3" s="44"/>
      <c r="O3" s="44"/>
      <c r="P3" s="44"/>
    </row>
    <row r="4" spans="1:16" ht="9.75" customHeight="1">
      <c r="A4" s="44"/>
      <c r="B4" s="44"/>
      <c r="C4" s="44"/>
      <c r="D4" s="44"/>
      <c r="E4" s="88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9.75" customHeight="1">
      <c r="A5" s="44"/>
      <c r="B5" s="267" t="s">
        <v>113</v>
      </c>
      <c r="C5" s="44"/>
      <c r="D5" s="44"/>
      <c r="E5" s="88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9.75" customHeight="1">
      <c r="A6" s="44"/>
      <c r="B6" s="267" t="s">
        <v>114</v>
      </c>
      <c r="C6" s="44"/>
      <c r="D6" s="44"/>
      <c r="E6" s="88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9.75" customHeight="1">
      <c r="A7" s="44"/>
      <c r="B7" s="268" t="s">
        <v>115</v>
      </c>
      <c r="C7" s="44"/>
      <c r="D7" s="44"/>
      <c r="E7" s="8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9.75" customHeight="1">
      <c r="A8" s="44"/>
      <c r="B8" s="269"/>
      <c r="C8" s="44"/>
      <c r="D8" s="44"/>
      <c r="E8" s="88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9.75" customHeight="1">
      <c r="A9" s="44"/>
      <c r="B9" s="267" t="s">
        <v>119</v>
      </c>
      <c r="C9" s="44"/>
      <c r="D9" s="44"/>
      <c r="E9" s="88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9.75" customHeight="1">
      <c r="A10" s="44"/>
      <c r="B10" s="267" t="s">
        <v>120</v>
      </c>
      <c r="C10" s="44"/>
      <c r="D10" s="44"/>
      <c r="E10" s="88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9.75" customHeight="1">
      <c r="A11" s="44"/>
      <c r="B11" s="267" t="s">
        <v>121</v>
      </c>
      <c r="C11" s="44"/>
      <c r="D11" s="44"/>
      <c r="E11" s="88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9.75" customHeight="1">
      <c r="A12" s="44"/>
      <c r="B12" s="267"/>
      <c r="C12" s="44"/>
      <c r="D12" s="44"/>
      <c r="E12" s="88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9.75" customHeight="1">
      <c r="A13" s="44"/>
      <c r="B13" s="270" t="s">
        <v>116</v>
      </c>
      <c r="C13" s="44"/>
      <c r="D13" s="44"/>
      <c r="E13" s="88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9.75" customHeight="1">
      <c r="A14" s="44"/>
      <c r="B14" s="270" t="s">
        <v>117</v>
      </c>
      <c r="C14" s="44"/>
      <c r="D14" s="44"/>
      <c r="E14" s="88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9.75" customHeight="1">
      <c r="A15" s="44"/>
      <c r="B15" s="270" t="s">
        <v>118</v>
      </c>
      <c r="C15" s="44"/>
      <c r="D15" s="44"/>
      <c r="E15" s="88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9.75" customHeight="1">
      <c r="A16" s="44"/>
      <c r="B16" s="44"/>
      <c r="C16" s="44"/>
      <c r="D16" s="44"/>
      <c r="E16" s="88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3.5" thickBot="1">
      <c r="A17" s="44"/>
      <c r="B17" s="44"/>
      <c r="C17" s="44"/>
      <c r="D17" s="89" t="s">
        <v>58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3.5" customHeight="1" thickBot="1">
      <c r="A18" s="44"/>
      <c r="B18" s="364" t="s">
        <v>59</v>
      </c>
      <c r="C18" s="365"/>
      <c r="D18" s="365"/>
      <c r="E18" s="366"/>
      <c r="F18" s="372" t="s">
        <v>60</v>
      </c>
      <c r="G18" s="364" t="s">
        <v>11</v>
      </c>
      <c r="H18" s="365"/>
      <c r="I18" s="366"/>
      <c r="J18" s="367" t="s">
        <v>61</v>
      </c>
      <c r="K18" s="44"/>
      <c r="L18" s="44"/>
      <c r="M18" s="44"/>
      <c r="N18" s="44"/>
      <c r="O18" s="44"/>
      <c r="P18" s="44"/>
    </row>
    <row r="19" spans="1:16" ht="13.5" thickBot="1">
      <c r="A19" s="44"/>
      <c r="B19" s="364"/>
      <c r="C19" s="365"/>
      <c r="D19" s="365"/>
      <c r="E19" s="366"/>
      <c r="F19" s="373"/>
      <c r="G19" s="90">
        <v>-1</v>
      </c>
      <c r="H19" s="91">
        <v>0</v>
      </c>
      <c r="I19" s="90">
        <v>1</v>
      </c>
      <c r="J19" s="368"/>
      <c r="K19" s="44"/>
      <c r="L19" s="44"/>
      <c r="M19" s="44"/>
      <c r="N19" s="44"/>
      <c r="O19" s="44"/>
      <c r="P19" s="44"/>
    </row>
    <row r="20" spans="1:16" ht="12.75">
      <c r="A20" s="44"/>
      <c r="B20" s="369" t="s">
        <v>110</v>
      </c>
      <c r="C20" s="370"/>
      <c r="D20" s="370"/>
      <c r="E20" s="371"/>
      <c r="F20" s="92" t="s">
        <v>13</v>
      </c>
      <c r="G20" s="93">
        <v>0</v>
      </c>
      <c r="H20" s="94">
        <v>1</v>
      </c>
      <c r="I20" s="93">
        <v>2</v>
      </c>
      <c r="J20" s="92">
        <f>+(I20-G20)/2</f>
        <v>1</v>
      </c>
      <c r="K20" s="44"/>
      <c r="L20" s="44"/>
      <c r="M20" s="44"/>
      <c r="N20" s="44"/>
      <c r="O20" s="44"/>
      <c r="P20" s="44"/>
    </row>
    <row r="21" spans="1:16" ht="12.75">
      <c r="A21" s="44"/>
      <c r="B21" s="343" t="s">
        <v>111</v>
      </c>
      <c r="C21" s="344"/>
      <c r="D21" s="344"/>
      <c r="E21" s="345"/>
      <c r="F21" s="95" t="s">
        <v>14</v>
      </c>
      <c r="G21" s="96">
        <v>0</v>
      </c>
      <c r="H21" s="97">
        <v>0.25</v>
      </c>
      <c r="I21" s="96">
        <v>0.5</v>
      </c>
      <c r="J21" s="95">
        <f>+(I21-G21)/2</f>
        <v>0.25</v>
      </c>
      <c r="K21" s="44"/>
      <c r="L21" s="44"/>
      <c r="M21" s="44"/>
      <c r="N21" s="44"/>
      <c r="O21" s="44"/>
      <c r="P21" s="44"/>
    </row>
    <row r="22" spans="1:16" ht="13.5" thickBot="1">
      <c r="A22" s="44"/>
      <c r="B22" s="346" t="s">
        <v>112</v>
      </c>
      <c r="C22" s="347"/>
      <c r="D22" s="347"/>
      <c r="E22" s="348"/>
      <c r="F22" s="98" t="s">
        <v>37</v>
      </c>
      <c r="G22" s="99">
        <v>400</v>
      </c>
      <c r="H22" s="100">
        <v>475</v>
      </c>
      <c r="I22" s="99">
        <v>550</v>
      </c>
      <c r="J22" s="98">
        <f>+(I22-G22)/2</f>
        <v>75</v>
      </c>
      <c r="K22" s="44"/>
      <c r="L22" s="44"/>
      <c r="M22" s="44"/>
      <c r="N22" s="44"/>
      <c r="O22" s="44"/>
      <c r="P22" s="44"/>
    </row>
    <row r="23" spans="1:16" ht="9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3.5" thickBot="1">
      <c r="A24" s="44"/>
      <c r="B24" s="44"/>
      <c r="C24" s="89" t="s">
        <v>62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49.5" thickBot="1">
      <c r="A25" s="44"/>
      <c r="B25" s="101" t="s">
        <v>63</v>
      </c>
      <c r="C25" s="102">
        <v>63.49</v>
      </c>
      <c r="D25" s="44"/>
      <c r="E25" s="349" t="s">
        <v>59</v>
      </c>
      <c r="F25" s="349"/>
      <c r="G25" s="251" t="s">
        <v>60</v>
      </c>
      <c r="H25" s="254" t="s">
        <v>103</v>
      </c>
      <c r="I25" s="252" t="s">
        <v>73</v>
      </c>
      <c r="J25" s="253" t="s">
        <v>74</v>
      </c>
      <c r="K25" s="44"/>
      <c r="L25" s="44"/>
      <c r="M25" s="44"/>
      <c r="N25" s="44"/>
      <c r="O25" s="44"/>
      <c r="P25" s="44"/>
    </row>
    <row r="26" spans="1:16" ht="15" customHeight="1" thickBot="1">
      <c r="A26" s="44"/>
      <c r="B26" s="245" t="s">
        <v>64</v>
      </c>
      <c r="C26" s="246">
        <v>2.72</v>
      </c>
      <c r="D26" s="44"/>
      <c r="E26" s="358" t="str">
        <f>+B20</f>
        <v>С-3, %</v>
      </c>
      <c r="F26" s="358"/>
      <c r="G26" s="356" t="str">
        <f>+F20</f>
        <v>Х1</v>
      </c>
      <c r="H26" s="350">
        <v>1</v>
      </c>
      <c r="I26" s="363">
        <f>+(H26-H20)/J20</f>
        <v>0</v>
      </c>
      <c r="J26" s="359">
        <f>+C25+C26*I26+C27*I28+C28*I30+C29*I26*I26+C30*I28*I28+C31*I30*I30+C32*I26*I28+C33*I26*I30+C34*I28*I30</f>
        <v>58.28</v>
      </c>
      <c r="K26" s="44"/>
      <c r="L26" s="44"/>
      <c r="M26" s="44"/>
      <c r="N26" s="44"/>
      <c r="O26" s="44"/>
      <c r="P26" s="44"/>
    </row>
    <row r="27" spans="1:16" ht="14.25" customHeight="1" thickBot="1">
      <c r="A27" s="44"/>
      <c r="B27" s="247" t="s">
        <v>67</v>
      </c>
      <c r="C27" s="248">
        <v>-2.74</v>
      </c>
      <c r="D27" s="44"/>
      <c r="E27" s="354"/>
      <c r="F27" s="354"/>
      <c r="G27" s="357"/>
      <c r="H27" s="351"/>
      <c r="I27" s="360"/>
      <c r="J27" s="359"/>
      <c r="K27" s="44"/>
      <c r="L27" s="44"/>
      <c r="M27" s="44"/>
      <c r="N27" s="44"/>
      <c r="O27" s="44"/>
      <c r="P27" s="44"/>
    </row>
    <row r="28" spans="1:16" ht="15" customHeight="1" thickBot="1">
      <c r="A28" s="44"/>
      <c r="B28" s="249" t="s">
        <v>70</v>
      </c>
      <c r="C28" s="250">
        <v>6.1</v>
      </c>
      <c r="D28" s="44"/>
      <c r="E28" s="354" t="str">
        <f>+B21</f>
        <v>ПВА, %</v>
      </c>
      <c r="F28" s="354"/>
      <c r="G28" s="352" t="str">
        <f>+F21</f>
        <v>Х2</v>
      </c>
      <c r="H28" s="351">
        <v>0</v>
      </c>
      <c r="I28" s="360">
        <f>+(H28-H21)/J21</f>
        <v>-1</v>
      </c>
      <c r="J28" s="359"/>
      <c r="K28" s="44"/>
      <c r="L28" s="44"/>
      <c r="M28" s="44"/>
      <c r="N28" s="44"/>
      <c r="O28" s="44"/>
      <c r="P28" s="44"/>
    </row>
    <row r="29" spans="1:16" ht="15" customHeight="1" thickBot="1">
      <c r="A29" s="44"/>
      <c r="B29" s="245" t="s">
        <v>65</v>
      </c>
      <c r="C29" s="246">
        <v>-1.5</v>
      </c>
      <c r="D29" s="44"/>
      <c r="E29" s="354"/>
      <c r="F29" s="354"/>
      <c r="G29" s="352"/>
      <c r="H29" s="351"/>
      <c r="I29" s="360"/>
      <c r="J29" s="359"/>
      <c r="K29" s="44"/>
      <c r="L29" s="44"/>
      <c r="M29" s="44"/>
      <c r="N29" s="44"/>
      <c r="O29" s="44"/>
      <c r="P29" s="44"/>
    </row>
    <row r="30" spans="1:16" ht="15" customHeight="1" thickBot="1">
      <c r="A30" s="44"/>
      <c r="B30" s="247" t="s">
        <v>68</v>
      </c>
      <c r="C30" s="248">
        <v>-1.2</v>
      </c>
      <c r="D30" s="44"/>
      <c r="E30" s="354" t="str">
        <f>+B22</f>
        <v>Цемент, кг/м3</v>
      </c>
      <c r="F30" s="354"/>
      <c r="G30" s="352" t="str">
        <f>+F22</f>
        <v>Х3</v>
      </c>
      <c r="H30" s="351">
        <v>400</v>
      </c>
      <c r="I30" s="360">
        <f>+(H30-H22)/J22</f>
        <v>-1</v>
      </c>
      <c r="J30" s="359"/>
      <c r="K30" s="44"/>
      <c r="L30" s="44"/>
      <c r="M30" s="44"/>
      <c r="N30" s="44"/>
      <c r="O30" s="44"/>
      <c r="P30" s="44"/>
    </row>
    <row r="31" spans="1:16" ht="15" customHeight="1" thickBot="1">
      <c r="A31" s="44"/>
      <c r="B31" s="249" t="s">
        <v>71</v>
      </c>
      <c r="C31" s="250">
        <v>-0.4</v>
      </c>
      <c r="D31" s="44"/>
      <c r="E31" s="355"/>
      <c r="F31" s="355"/>
      <c r="G31" s="353"/>
      <c r="H31" s="361"/>
      <c r="I31" s="362"/>
      <c r="J31" s="359"/>
      <c r="K31" s="44"/>
      <c r="L31" s="44"/>
      <c r="M31" s="44"/>
      <c r="N31" s="44"/>
      <c r="O31" s="44"/>
      <c r="P31" s="44"/>
    </row>
    <row r="32" spans="1:16" ht="15" customHeight="1">
      <c r="A32" s="44"/>
      <c r="B32" s="245" t="s">
        <v>66</v>
      </c>
      <c r="C32" s="246">
        <v>-1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" customHeight="1">
      <c r="A33" s="44"/>
      <c r="B33" s="247" t="s">
        <v>69</v>
      </c>
      <c r="C33" s="248">
        <v>-0.05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 customHeight="1" thickBot="1">
      <c r="A34" s="44"/>
      <c r="B34" s="249" t="s">
        <v>72</v>
      </c>
      <c r="C34" s="250">
        <v>-0.25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2.75">
      <c r="A36" s="44"/>
      <c r="B36" s="48"/>
      <c r="C36" s="48"/>
      <c r="D36" s="48"/>
      <c r="E36" s="48"/>
      <c r="F36" s="48"/>
      <c r="G36" s="48"/>
      <c r="H36" s="48"/>
      <c r="I36" s="44"/>
      <c r="J36" s="44"/>
      <c r="K36" s="44"/>
      <c r="L36" s="44"/>
      <c r="M36" s="44"/>
      <c r="N36" s="44"/>
      <c r="O36" s="44"/>
      <c r="P36" s="44"/>
    </row>
    <row r="37" spans="1:16" ht="12.75" customHeight="1">
      <c r="A37" s="44"/>
      <c r="B37" s="48"/>
      <c r="C37" s="255"/>
      <c r="D37" s="255"/>
      <c r="E37" s="48"/>
      <c r="F37" s="48"/>
      <c r="G37" s="256"/>
      <c r="H37" s="48"/>
      <c r="I37" s="44"/>
      <c r="J37" s="44"/>
      <c r="K37" s="44"/>
      <c r="L37" s="44"/>
      <c r="M37" s="44"/>
      <c r="N37" s="44"/>
      <c r="O37" s="44"/>
      <c r="P37" s="44"/>
    </row>
    <row r="38" spans="1:16" ht="12.75">
      <c r="A38" s="44"/>
      <c r="B38" s="48"/>
      <c r="C38" s="255"/>
      <c r="D38" s="255"/>
      <c r="E38" s="48"/>
      <c r="F38" s="48"/>
      <c r="G38" s="256"/>
      <c r="H38" s="48"/>
      <c r="I38" s="44"/>
      <c r="J38" s="44"/>
      <c r="K38" s="44"/>
      <c r="L38" s="44"/>
      <c r="M38" s="44"/>
      <c r="N38" s="44"/>
      <c r="O38" s="44"/>
      <c r="P38" s="44"/>
    </row>
    <row r="39" spans="1:16" ht="12.75">
      <c r="A39" s="44"/>
      <c r="B39" s="48"/>
      <c r="C39" s="257"/>
      <c r="D39" s="257"/>
      <c r="E39" s="48"/>
      <c r="F39" s="48"/>
      <c r="G39" s="258"/>
      <c r="H39" s="48"/>
      <c r="I39" s="44"/>
      <c r="J39" s="44"/>
      <c r="K39" s="44"/>
      <c r="L39" s="44"/>
      <c r="M39" s="44"/>
      <c r="N39" s="44"/>
      <c r="O39" s="44"/>
      <c r="P39" s="44"/>
    </row>
    <row r="40" spans="1:16" ht="12.75">
      <c r="A40" s="44"/>
      <c r="B40" s="48"/>
      <c r="C40" s="257"/>
      <c r="D40" s="257"/>
      <c r="E40" s="48"/>
      <c r="F40" s="48"/>
      <c r="G40" s="258"/>
      <c r="H40" s="48"/>
      <c r="I40" s="44"/>
      <c r="J40" s="44"/>
      <c r="K40" s="44"/>
      <c r="L40" s="44"/>
      <c r="M40" s="44"/>
      <c r="N40" s="44"/>
      <c r="O40" s="44"/>
      <c r="P40" s="44"/>
    </row>
    <row r="41" spans="1:16" ht="12.75">
      <c r="A41" s="44"/>
      <c r="B41" s="48"/>
      <c r="C41" s="257"/>
      <c r="D41" s="257"/>
      <c r="E41" s="48"/>
      <c r="F41" s="48"/>
      <c r="G41" s="258"/>
      <c r="H41" s="48"/>
      <c r="I41" s="44"/>
      <c r="J41" s="44"/>
      <c r="K41" s="44"/>
      <c r="L41" s="44"/>
      <c r="M41" s="44"/>
      <c r="N41" s="44"/>
      <c r="O41" s="44"/>
      <c r="P41" s="44"/>
    </row>
    <row r="42" spans="1:16" ht="12.75">
      <c r="A42" s="44"/>
      <c r="B42" s="48"/>
      <c r="C42" s="48"/>
      <c r="D42" s="48"/>
      <c r="E42" s="48"/>
      <c r="F42" s="48"/>
      <c r="G42" s="48"/>
      <c r="H42" s="48"/>
      <c r="I42" s="44"/>
      <c r="J42" s="44"/>
      <c r="K42" s="44"/>
      <c r="L42" s="44"/>
      <c r="M42" s="44"/>
      <c r="N42" s="44"/>
      <c r="O42" s="44"/>
      <c r="P42" s="44"/>
    </row>
    <row r="43" spans="1:16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</sheetData>
  <sheetProtection password="CF42" sheet="1" objects="1" scenarios="1"/>
  <mergeCells count="21">
    <mergeCell ref="G18:I18"/>
    <mergeCell ref="J18:J19"/>
    <mergeCell ref="B18:E19"/>
    <mergeCell ref="B20:E20"/>
    <mergeCell ref="F18:F19"/>
    <mergeCell ref="J26:J31"/>
    <mergeCell ref="H28:H29"/>
    <mergeCell ref="I28:I29"/>
    <mergeCell ref="H30:H31"/>
    <mergeCell ref="I30:I31"/>
    <mergeCell ref="I26:I27"/>
    <mergeCell ref="G30:G31"/>
    <mergeCell ref="E28:F29"/>
    <mergeCell ref="E30:F31"/>
    <mergeCell ref="G26:G27"/>
    <mergeCell ref="E26:F27"/>
    <mergeCell ref="G28:G29"/>
    <mergeCell ref="B21:E21"/>
    <mergeCell ref="B22:E22"/>
    <mergeCell ref="E25:F25"/>
    <mergeCell ref="H26:H27"/>
  </mergeCells>
  <printOptions/>
  <pageMargins left="0.75" right="0.75" top="1" bottom="1" header="0.5" footer="0.5"/>
  <pageSetup horizontalDpi="240" verticalDpi="240" orientation="portrait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 Григорьевич</dc:creator>
  <cp:keywords/>
  <dc:description/>
  <cp:lastModifiedBy>Александр</cp:lastModifiedBy>
  <cp:lastPrinted>2000-03-13T14:48:07Z</cp:lastPrinted>
  <dcterms:created xsi:type="dcterms:W3CDTF">1999-04-03T15:53:04Z</dcterms:created>
  <dcterms:modified xsi:type="dcterms:W3CDTF">2021-09-13T19:02:41Z</dcterms:modified>
  <cp:category/>
  <cp:version/>
  <cp:contentType/>
  <cp:contentStatus/>
</cp:coreProperties>
</file>