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785" tabRatio="583" activeTab="0"/>
  </bookViews>
  <sheets>
    <sheet name="ПФЭ-2F" sheetId="1" r:id="rId1"/>
    <sheet name="Натур.вычисления" sheetId="2" r:id="rId2"/>
    <sheet name="Рис.1" sheetId="3" r:id="rId3"/>
    <sheet name="Рис.3" sheetId="4" r:id="rId4"/>
  </sheets>
  <definedNames/>
  <calcPr fullCalcOnLoad="1"/>
</workbook>
</file>

<file path=xl/sharedStrings.xml><?xml version="1.0" encoding="utf-8"?>
<sst xmlns="http://schemas.openxmlformats.org/spreadsheetml/2006/main" count="121" uniqueCount="107">
  <si>
    <t>Работа № 6</t>
  </si>
  <si>
    <t>Программу расчета</t>
  </si>
  <si>
    <t>подготовил Гелевера А.Г.</t>
  </si>
  <si>
    <t>Задание</t>
  </si>
  <si>
    <t xml:space="preserve">произвольных  значений  функции  отклика  как  в  пределах  факторного пространства (+1 ... -1),  так и за его </t>
  </si>
  <si>
    <t xml:space="preserve">пределами  (+1,5 ... -1,5). Следует, однако учитывать, что чем дальше уход за пределы факторного пространства, </t>
  </si>
  <si>
    <t>тем большая погрешность расчетов.  Выполнить анализ адекватности уравнения.</t>
  </si>
  <si>
    <r>
      <t>Таблица 1</t>
    </r>
    <r>
      <rPr>
        <sz val="10"/>
        <color indexed="26"/>
        <rFont val="Arial Cyr"/>
        <family val="2"/>
      </rPr>
      <t xml:space="preserve">. </t>
    </r>
    <r>
      <rPr>
        <sz val="10"/>
        <color indexed="26"/>
        <rFont val="Times New Roman Cyr"/>
        <family val="1"/>
      </rPr>
      <t xml:space="preserve"> </t>
    </r>
    <r>
      <rPr>
        <b/>
        <sz val="10"/>
        <color indexed="26"/>
        <rFont val="Times New Roman Cyr"/>
        <family val="0"/>
      </rPr>
      <t>Исходные данные (ввести в желтые ячейки)</t>
    </r>
  </si>
  <si>
    <t>Факторы</t>
  </si>
  <si>
    <t>Един.</t>
  </si>
  <si>
    <t>Код</t>
  </si>
  <si>
    <t>Уровни варьирования</t>
  </si>
  <si>
    <t>Интервал</t>
  </si>
  <si>
    <t>(наименование)</t>
  </si>
  <si>
    <t>измерен.</t>
  </si>
  <si>
    <t>+1</t>
  </si>
  <si>
    <t>варьиров.</t>
  </si>
  <si>
    <t>Х1</t>
  </si>
  <si>
    <t>Х2</t>
  </si>
  <si>
    <t>№</t>
  </si>
  <si>
    <r>
      <t>Y</t>
    </r>
    <r>
      <rPr>
        <b/>
        <vertAlign val="subscript"/>
        <sz val="10"/>
        <rFont val="Arial Cyr"/>
        <family val="2"/>
      </rPr>
      <t>расч.</t>
    </r>
  </si>
  <si>
    <t>0 Y</t>
  </si>
  <si>
    <t>х1 У</t>
  </si>
  <si>
    <t>х2 У</t>
  </si>
  <si>
    <t>х11 У</t>
  </si>
  <si>
    <t>х22 У</t>
  </si>
  <si>
    <t>х12 У</t>
  </si>
  <si>
    <r>
      <t>b</t>
    </r>
    <r>
      <rPr>
        <b/>
        <vertAlign val="subscript"/>
        <sz val="11"/>
        <color indexed="26"/>
        <rFont val="Arial Cyr"/>
        <family val="2"/>
      </rPr>
      <t>o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</si>
  <si>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</si>
  <si>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</si>
  <si>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</si>
  <si>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</si>
  <si>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12</t>
    </r>
    <r>
      <rPr>
        <b/>
        <sz val="10"/>
        <color indexed="26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</si>
  <si>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26"/>
        <rFont val="Arial Cyr"/>
        <family val="2"/>
      </rPr>
      <t>расч</t>
    </r>
    <r>
      <rPr>
        <b/>
        <sz val="10"/>
        <color indexed="26"/>
        <rFont val="Arial Cyr"/>
        <family val="2"/>
      </rPr>
      <t>=</t>
    </r>
  </si>
  <si>
    <r>
      <t>F</t>
    </r>
    <r>
      <rPr>
        <b/>
        <vertAlign val="subscript"/>
        <sz val="10"/>
        <color indexed="26"/>
        <rFont val="Arial Cyr"/>
        <family val="2"/>
      </rPr>
      <t>табл</t>
    </r>
    <r>
      <rPr>
        <b/>
        <sz val="10"/>
        <color indexed="26"/>
        <rFont val="Arial Cyr"/>
        <family val="2"/>
      </rPr>
      <t>=</t>
    </r>
  </si>
  <si>
    <t>Сумма</t>
  </si>
  <si>
    <r>
      <t>S</t>
    </r>
    <r>
      <rPr>
        <vertAlign val="subscript"/>
        <sz val="10"/>
        <rFont val="Arial Cyr"/>
        <family val="2"/>
      </rPr>
      <t>y =</t>
    </r>
  </si>
  <si>
    <r>
      <t>S</t>
    </r>
    <r>
      <rPr>
        <vertAlign val="subscript"/>
        <sz val="10"/>
        <rFont val="Arial Cyr"/>
        <family val="2"/>
      </rPr>
      <t>ад =</t>
    </r>
  </si>
  <si>
    <t>Уравнение регрессии в общем  виде</t>
  </si>
  <si>
    <r>
      <t>Y</t>
    </r>
    <r>
      <rPr>
        <b/>
        <vertAlign val="subscript"/>
        <sz val="11"/>
        <color indexed="12"/>
        <rFont val="Arial Cyr"/>
        <family val="2"/>
      </rPr>
      <t>расч</t>
    </r>
    <r>
      <rPr>
        <b/>
        <sz val="10"/>
        <color indexed="12"/>
        <rFont val="Arial Cyr"/>
        <family val="2"/>
      </rPr>
      <t xml:space="preserve"> = b</t>
    </r>
    <r>
      <rPr>
        <b/>
        <vertAlign val="subscript"/>
        <sz val="11"/>
        <color indexed="12"/>
        <rFont val="Arial Cyr"/>
        <family val="2"/>
      </rPr>
      <t>o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i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</t>
    </r>
  </si>
  <si>
    <r>
      <t>Расчет функции отклика уравнения (Y</t>
    </r>
    <r>
      <rPr>
        <b/>
        <u val="single"/>
        <vertAlign val="subscript"/>
        <sz val="10"/>
        <color indexed="26"/>
        <rFont val="Arial Cyr"/>
        <family val="2"/>
      </rPr>
      <t>расч</t>
    </r>
    <r>
      <rPr>
        <b/>
        <u val="single"/>
        <sz val="10"/>
        <color indexed="26"/>
        <rFont val="Arial Cyr"/>
        <family val="2"/>
      </rPr>
      <t>) при любых произвольных</t>
    </r>
  </si>
  <si>
    <t xml:space="preserve">значениях Х1 и Х2 в пределах факторного пространства </t>
  </si>
  <si>
    <t>и даже чуть-чуть за пределами (до +1,5...-1,5)</t>
  </si>
  <si>
    <t xml:space="preserve">    Х1 и Х2 в кодах</t>
  </si>
  <si>
    <t>X1</t>
  </si>
  <si>
    <t>X2</t>
  </si>
  <si>
    <t>+0,5</t>
  </si>
  <si>
    <t>Таблица 3</t>
  </si>
  <si>
    <t>Ввести в таблицы 1 и 2 данные задания.  При необходимости ввести исходные данные и в таблицу 3 для расчета</t>
  </si>
  <si>
    <t>Ymax =</t>
  </si>
  <si>
    <t>Ymin =</t>
  </si>
  <si>
    <r>
      <t>Y</t>
    </r>
    <r>
      <rPr>
        <b/>
        <vertAlign val="subscript"/>
        <sz val="10"/>
        <rFont val="Arial Cyr"/>
        <family val="2"/>
      </rPr>
      <t>факт. ВВЕСТИ</t>
    </r>
  </si>
  <si>
    <t xml:space="preserve">      уравнение  -</t>
  </si>
  <si>
    <t xml:space="preserve">    Коэффициенты     уравнения регрессии</t>
  </si>
  <si>
    <t>+0,25</t>
  </si>
  <si>
    <t>Х2 -</t>
  </si>
  <si>
    <r>
      <t>Таблица 2</t>
    </r>
    <r>
      <rPr>
        <sz val="10"/>
        <color indexed="26"/>
        <rFont val="Arial Cyr"/>
        <family val="2"/>
      </rPr>
      <t xml:space="preserve">. </t>
    </r>
    <r>
      <rPr>
        <b/>
        <sz val="9"/>
        <color indexed="26"/>
        <rFont val="Arial Cyr"/>
        <family val="2"/>
      </rPr>
      <t xml:space="preserve"> </t>
    </r>
    <r>
      <rPr>
        <b/>
        <sz val="10"/>
        <color indexed="26"/>
        <rFont val="Times New Roman Cyr"/>
        <family val="1"/>
      </rPr>
      <t>План эксперимента (данные ввести в желтые ячейки)</t>
    </r>
  </si>
  <si>
    <t>+0,75</t>
  </si>
  <si>
    <t xml:space="preserve">        ВЫЧИСЛЕНИЕ ПРОИЗВОЛЬНЫХ ЗНАЧЕНИЙ ФУНКЦИИ ОТКЛИКА</t>
  </si>
  <si>
    <t>Выполнил</t>
  </si>
  <si>
    <t>Гелевера А.Г.</t>
  </si>
  <si>
    <t>Наименование факторов</t>
  </si>
  <si>
    <t>Коды</t>
  </si>
  <si>
    <t>Шаг варьи-рования</t>
  </si>
  <si>
    <r>
      <t>b</t>
    </r>
    <r>
      <rPr>
        <b/>
        <vertAlign val="subscript"/>
        <sz val="10"/>
        <rFont val="Arial Cyr"/>
        <family val="2"/>
      </rPr>
      <t xml:space="preserve">0 </t>
    </r>
    <r>
      <rPr>
        <b/>
        <sz val="10"/>
        <rFont val="Arial Cyr"/>
        <family val="2"/>
      </rPr>
      <t xml:space="preserve">= </t>
    </r>
  </si>
  <si>
    <r>
      <t>b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</si>
  <si>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11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</si>
  <si>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 xml:space="preserve">12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</si>
  <si>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</si>
  <si>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22</t>
    </r>
    <r>
      <rPr>
        <b/>
        <sz val="10"/>
        <rFont val="Arial Cyr"/>
        <family val="2"/>
      </rPr>
      <t xml:space="preserve"> =</t>
    </r>
  </si>
  <si>
    <t>Натуральные значения факторов (ввести)</t>
  </si>
  <si>
    <t>Значение уровня</t>
  </si>
  <si>
    <t>Y</t>
  </si>
  <si>
    <t xml:space="preserve">          Введите фиксированные значения факторов</t>
  </si>
  <si>
    <t xml:space="preserve">     2-факторного УРАВНЕНИЯ  РЕГРЕССИИ</t>
  </si>
  <si>
    <t>Математическое планирование эксперимента</t>
  </si>
  <si>
    <r>
      <t>Планы второго порядка (на кубе). Количество факторов -</t>
    </r>
    <r>
      <rPr>
        <b/>
        <sz val="11"/>
        <color indexed="13"/>
        <rFont val="Arial"/>
        <family val="2"/>
      </rPr>
      <t xml:space="preserve"> 2</t>
    </r>
  </si>
  <si>
    <t>(Расчет выполнен по методике, изложенной в книге В.А.Вознесенского и др. "Численные методы ...", 1989, с.212.)</t>
  </si>
  <si>
    <t>Введите значения коэффициентов</t>
  </si>
  <si>
    <t>уравнения регрессии</t>
  </si>
  <si>
    <t xml:space="preserve">          Введите произвольные натуральные значения факторов</t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</si>
  <si>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Х1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</si>
  <si>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Х2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</si>
  <si>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t>Цемент</t>
  </si>
  <si>
    <t>Результаты расчета с использованием уравнения регрессии</t>
  </si>
  <si>
    <t xml:space="preserve">известны уровни варьирования факторов. Введите значения коэффициентов уравнения и все </t>
  </si>
  <si>
    <t>что относится к факторам в соответствующие ячейки.</t>
  </si>
  <si>
    <t>Она может быть полезна для определения значения функции отклика (значения выхода) в любой</t>
  </si>
  <si>
    <t>точке факторного пространства при любых значениях факторов в пределах границ их варьирова-</t>
  </si>
  <si>
    <t>ния (и даже чуть-чуть за пределами).</t>
  </si>
  <si>
    <r>
      <t xml:space="preserve">Эта программка может быть использована, если у Вас уже </t>
    </r>
    <r>
      <rPr>
        <b/>
        <u val="single"/>
        <sz val="9"/>
        <rFont val="Arial Cyr"/>
        <family val="2"/>
      </rPr>
      <t>есть уравнение регрессии</t>
    </r>
    <r>
      <rPr>
        <b/>
        <sz val="9"/>
        <rFont val="Arial Cyr"/>
        <family val="2"/>
      </rPr>
      <t xml:space="preserve"> и Вам </t>
    </r>
  </si>
  <si>
    <r>
      <t>Значение функции отклика (Y</t>
    </r>
    <r>
      <rPr>
        <b/>
        <i/>
        <vertAlign val="subscript"/>
        <sz val="9.5"/>
        <color indexed="25"/>
        <rFont val="Arial Cyr"/>
        <family val="2"/>
      </rPr>
      <t>расч</t>
    </r>
    <r>
      <rPr>
        <b/>
        <i/>
        <sz val="9.5"/>
        <color indexed="25"/>
        <rFont val="Arial Cyr"/>
        <family val="2"/>
      </rPr>
      <t>) ......................……………............................................</t>
    </r>
  </si>
  <si>
    <r>
      <t xml:space="preserve"> Матрица плана         </t>
    </r>
    <r>
      <rPr>
        <b/>
        <sz val="8"/>
        <rFont val="Arial Cyr"/>
        <family val="2"/>
      </rPr>
      <t>в кодах</t>
    </r>
  </si>
  <si>
    <r>
      <t xml:space="preserve"> Матрица плана        </t>
    </r>
    <r>
      <rPr>
        <b/>
        <sz val="8"/>
        <color indexed="53"/>
        <rFont val="Arial Cyr"/>
        <family val="2"/>
      </rPr>
      <t>в натур. величинах</t>
    </r>
  </si>
  <si>
    <t>1.</t>
  </si>
  <si>
    <t>2.</t>
  </si>
  <si>
    <t>3.</t>
  </si>
  <si>
    <t>4.</t>
  </si>
  <si>
    <t>6.</t>
  </si>
  <si>
    <t>7.</t>
  </si>
  <si>
    <t>8.</t>
  </si>
  <si>
    <t>9.</t>
  </si>
  <si>
    <r>
      <t xml:space="preserve">5.          </t>
    </r>
    <r>
      <rPr>
        <b/>
        <sz val="8"/>
        <rFont val="Arial Cyr"/>
        <family val="2"/>
      </rPr>
      <t>ввести три раза</t>
    </r>
  </si>
  <si>
    <t>Перлит</t>
  </si>
  <si>
    <t>%</t>
  </si>
  <si>
    <t>Клинкер</t>
  </si>
  <si>
    <t>Сода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</si>
</sst>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&quot;;\-#,##0\ &quot;грн&quot;"/>
    <numFmt numFmtId="189" formatCode="#,##0\ &quot;грн&quot;;[Red]\-#,##0\ &quot;грн&quot;"/>
    <numFmt numFmtId="190" formatCode="#,##0.00\ &quot;грн&quot;;\-#,##0.00\ &quot;грн&quot;"/>
    <numFmt numFmtId="191" formatCode="#,##0.00\ &quot;грн&quot;;[Red]\-#,##0.00\ &quot;грн&quot;"/>
    <numFmt numFmtId="192" formatCode="_-* #,##0\ &quot;грн&quot;_-;\-* #,##0\ &quot;грн&quot;_-;_-* &quot;-&quot;\ &quot;грн&quot;_-;_-@_-"/>
    <numFmt numFmtId="193" formatCode="_-* #,##0\ _г_р_н_-;\-* #,##0\ _г_р_н_-;_-* &quot;-&quot;\ _г_р_н_-;_-@_-"/>
    <numFmt numFmtId="194" formatCode="_-* #,##0.00\ &quot;грн&quot;_-;\-* #,##0.00\ &quot;грн&quot;_-;_-* &quot;-&quot;??\ &quot;грн&quot;_-;_-@_-"/>
    <numFmt numFmtId="195" formatCode="_-* #,##0.00\ _г_р_н_-;\-* #,##0.00\ _г_р_н_-;_-* &quot;-&quot;??\ _г_р_н_-;_-@_-"/>
    <numFmt numFmtId="196" formatCode="0.0"/>
    <numFmt numFmtId="197" formatCode="0.0000"/>
    <numFmt numFmtId="198" formatCode="0.000"/>
    <numFmt numFmtId="199" formatCode="0.00_ ;[Red]\-0.00\ "/>
    <numFmt numFmtId="200" formatCode="0.000_ ;[Red]\-0.000\ "/>
    <numFmt numFmtId="201" formatCode="0.0_ ;[Red]\-0.0\ 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13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10"/>
      <color indexed="13"/>
      <name val="Arial Cyr"/>
      <family val="0"/>
    </font>
    <font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26"/>
      <name val="Arial Cyr"/>
      <family val="2"/>
    </font>
    <font>
      <sz val="10"/>
      <color indexed="26"/>
      <name val="Arial Cyr"/>
      <family val="2"/>
    </font>
    <font>
      <b/>
      <vertAlign val="subscript"/>
      <sz val="10"/>
      <color indexed="26"/>
      <name val="Arial Cyr"/>
      <family val="2"/>
    </font>
    <font>
      <b/>
      <u val="single"/>
      <sz val="10"/>
      <color indexed="26"/>
      <name val="Arial Cyr"/>
      <family val="2"/>
    </font>
    <font>
      <b/>
      <u val="single"/>
      <vertAlign val="subscript"/>
      <sz val="10"/>
      <color indexed="26"/>
      <name val="Arial Cyr"/>
      <family val="2"/>
    </font>
    <font>
      <b/>
      <sz val="10"/>
      <color indexed="48"/>
      <name val="Arial Cyr"/>
      <family val="2"/>
    </font>
    <font>
      <b/>
      <i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i/>
      <sz val="9.5"/>
      <color indexed="25"/>
      <name val="Arial Cyr"/>
      <family val="2"/>
    </font>
    <font>
      <b/>
      <i/>
      <vertAlign val="subscript"/>
      <sz val="9.5"/>
      <color indexed="25"/>
      <name val="Arial Cyr"/>
      <family val="2"/>
    </font>
    <font>
      <b/>
      <sz val="10"/>
      <color indexed="35"/>
      <name val="Arial Cyr"/>
      <family val="2"/>
    </font>
    <font>
      <sz val="10"/>
      <color indexed="35"/>
      <name val="Arial Cyr"/>
      <family val="2"/>
    </font>
    <font>
      <b/>
      <sz val="10"/>
      <color indexed="13"/>
      <name val="Arial Cyr"/>
      <family val="0"/>
    </font>
    <font>
      <sz val="7"/>
      <color indexed="13"/>
      <name val="Times New Roman Cyr"/>
      <family val="1"/>
    </font>
    <font>
      <sz val="10"/>
      <color indexed="26"/>
      <name val="Times New Roman Cyr"/>
      <family val="1"/>
    </font>
    <font>
      <sz val="10"/>
      <color indexed="56"/>
      <name val="Times New Roman Cyr"/>
      <family val="1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sz val="8"/>
      <name val="Arial Cyr"/>
      <family val="0"/>
    </font>
    <font>
      <b/>
      <vertAlign val="subscript"/>
      <sz val="11"/>
      <color indexed="26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1"/>
      <color indexed="12"/>
      <name val="Arial Cyr"/>
      <family val="2"/>
    </font>
    <font>
      <b/>
      <i/>
      <vertAlign val="subscript"/>
      <sz val="10"/>
      <color indexed="12"/>
      <name val="Arial Cyr"/>
      <family val="2"/>
    </font>
    <font>
      <b/>
      <sz val="11"/>
      <color indexed="13"/>
      <name val="Arial"/>
      <family val="2"/>
    </font>
    <font>
      <b/>
      <sz val="10"/>
      <color indexed="26"/>
      <name val="Times New Roman Cyr"/>
      <family val="0"/>
    </font>
    <font>
      <b/>
      <sz val="9"/>
      <color indexed="26"/>
      <name val="Arial Cyr"/>
      <family val="2"/>
    </font>
    <font>
      <b/>
      <sz val="10"/>
      <color indexed="43"/>
      <name val="Arial Cyr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8"/>
      <color indexed="53"/>
      <name val="Arial Cyr"/>
      <family val="2"/>
    </font>
    <font>
      <b/>
      <sz val="10"/>
      <color indexed="5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color indexed="42"/>
      <name val="Arial Cyr"/>
      <family val="2"/>
    </font>
    <font>
      <sz val="10"/>
      <color indexed="43"/>
      <name val="Arial Cyr"/>
      <family val="2"/>
    </font>
    <font>
      <b/>
      <sz val="12"/>
      <color indexed="48"/>
      <name val="Arial Cyr"/>
      <family val="2"/>
    </font>
    <font>
      <sz val="14"/>
      <name val="Arial Cyr"/>
      <family val="2"/>
    </font>
    <font>
      <b/>
      <sz val="6.5"/>
      <name val="Arial Cyr"/>
      <family val="2"/>
    </font>
    <font>
      <sz val="9"/>
      <color indexed="43"/>
      <name val="Arial Cyr"/>
      <family val="2"/>
    </font>
    <font>
      <b/>
      <sz val="10"/>
      <color indexed="25"/>
      <name val="Arial Cyr"/>
      <family val="2"/>
    </font>
    <font>
      <b/>
      <i/>
      <sz val="9"/>
      <color indexed="48"/>
      <name val="Arial Cyr"/>
      <family val="2"/>
    </font>
    <font>
      <b/>
      <i/>
      <sz val="9"/>
      <name val="Arial Cyr"/>
      <family val="2"/>
    </font>
    <font>
      <b/>
      <sz val="10"/>
      <color indexed="11"/>
      <name val="Arial Cyr"/>
      <family val="2"/>
    </font>
    <font>
      <b/>
      <i/>
      <sz val="10"/>
      <color indexed="11"/>
      <name val="Arial Cyr"/>
      <family val="2"/>
    </font>
    <font>
      <b/>
      <sz val="9"/>
      <color indexed="11"/>
      <name val="Arial Cyr"/>
      <family val="2"/>
    </font>
    <font>
      <b/>
      <sz val="10.25"/>
      <color indexed="12"/>
      <name val="Times New Roman"/>
      <family val="1"/>
    </font>
    <font>
      <sz val="8"/>
      <name val="Times New Roman"/>
      <family val="0"/>
    </font>
    <font>
      <sz val="8.75"/>
      <name val="Times New Roman"/>
      <family val="0"/>
    </font>
    <font>
      <b/>
      <u val="single"/>
      <sz val="9"/>
      <name val="Arial Cyr"/>
      <family val="2"/>
    </font>
    <font>
      <b/>
      <sz val="9"/>
      <color indexed="56"/>
      <name val="Arial Cyr"/>
      <family val="2"/>
    </font>
    <font>
      <b/>
      <sz val="13"/>
      <color indexed="9"/>
      <name val="Arial Cyr"/>
      <family val="2"/>
    </font>
    <font>
      <u val="single"/>
      <sz val="12.9"/>
      <color indexed="12"/>
      <name val="Arial Cyr"/>
      <family val="0"/>
    </font>
    <font>
      <u val="single"/>
      <sz val="12.9"/>
      <color indexed="36"/>
      <name val="Arial Cyr"/>
      <family val="0"/>
    </font>
    <font>
      <sz val="1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>
        <color indexed="26"/>
      </left>
      <right style="thick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n">
        <color indexed="26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double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9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196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2" fontId="15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8" fillId="4" borderId="12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21" fillId="4" borderId="11" xfId="0" applyNumberFormat="1" applyFont="1" applyFill="1" applyBorder="1" applyAlignment="1">
      <alignment horizontal="center"/>
    </xf>
    <xf numFmtId="0" fontId="2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0" fillId="5" borderId="10" xfId="0" applyFont="1" applyFill="1" applyBorder="1" applyAlignment="1" applyProtection="1">
      <alignment horizontal="center"/>
      <protection locked="0"/>
    </xf>
    <xf numFmtId="0" fontId="20" fillId="5" borderId="3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>
      <alignment/>
    </xf>
    <xf numFmtId="0" fontId="28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6" borderId="14" xfId="0" applyFont="1" applyFill="1" applyBorder="1" applyAlignment="1">
      <alignment horizontal="center"/>
    </xf>
    <xf numFmtId="49" fontId="31" fillId="6" borderId="14" xfId="0" applyNumberFormat="1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49" fontId="31" fillId="6" borderId="15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6" fillId="4" borderId="0" xfId="0" applyFont="1" applyFill="1" applyAlignment="1">
      <alignment/>
    </xf>
    <xf numFmtId="0" fontId="22" fillId="4" borderId="0" xfId="0" applyFont="1" applyFill="1" applyBorder="1" applyAlignment="1">
      <alignment/>
    </xf>
    <xf numFmtId="0" fontId="35" fillId="4" borderId="0" xfId="0" applyFont="1" applyFill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25" fillId="3" borderId="0" xfId="0" applyFont="1" applyFill="1" applyAlignment="1">
      <alignment vertical="center"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 horizontal="left"/>
    </xf>
    <xf numFmtId="0" fontId="42" fillId="3" borderId="0" xfId="0" applyFont="1" applyFill="1" applyAlignment="1">
      <alignment/>
    </xf>
    <xf numFmtId="0" fontId="42" fillId="3" borderId="0" xfId="0" applyFont="1" applyFill="1" applyAlignment="1">
      <alignment horizontal="right"/>
    </xf>
    <xf numFmtId="196" fontId="42" fillId="3" borderId="0" xfId="0" applyNumberFormat="1" applyFont="1" applyFill="1" applyAlignment="1">
      <alignment horizontal="left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5" fillId="7" borderId="16" xfId="0" applyNumberFormat="1" applyFont="1" applyFill="1" applyBorder="1" applyAlignment="1">
      <alignment horizontal="center" vertical="center" wrapText="1"/>
    </xf>
    <xf numFmtId="0" fontId="45" fillId="7" borderId="1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49" fontId="31" fillId="3" borderId="0" xfId="0" applyNumberFormat="1" applyFont="1" applyFill="1" applyBorder="1" applyAlignment="1">
      <alignment horizontal="center"/>
    </xf>
    <xf numFmtId="196" fontId="32" fillId="3" borderId="0" xfId="0" applyNumberFormat="1" applyFont="1" applyFill="1" applyBorder="1" applyAlignment="1">
      <alignment horizontal="center"/>
    </xf>
    <xf numFmtId="196" fontId="3" fillId="3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8" fontId="42" fillId="3" borderId="0" xfId="0" applyNumberFormat="1" applyFont="1" applyFill="1" applyAlignment="1">
      <alignment horizontal="left"/>
    </xf>
    <xf numFmtId="198" fontId="15" fillId="3" borderId="0" xfId="0" applyNumberFormat="1" applyFont="1" applyFill="1" applyBorder="1" applyAlignment="1">
      <alignment horizontal="left"/>
    </xf>
    <xf numFmtId="198" fontId="15" fillId="3" borderId="0" xfId="0" applyNumberFormat="1" applyFont="1" applyFill="1" applyAlignment="1">
      <alignment horizontal="left"/>
    </xf>
    <xf numFmtId="0" fontId="1" fillId="4" borderId="18" xfId="0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>
      <alignment horizontal="center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31" fillId="6" borderId="15" xfId="0" applyFont="1" applyFill="1" applyBorder="1" applyAlignment="1">
      <alignment horizontal="center"/>
    </xf>
    <xf numFmtId="49" fontId="31" fillId="6" borderId="15" xfId="0" applyNumberFormat="1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31" fillId="3" borderId="0" xfId="0" applyFont="1" applyFill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2" fontId="21" fillId="4" borderId="12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right"/>
    </xf>
    <xf numFmtId="198" fontId="49" fillId="3" borderId="0" xfId="0" applyNumberFormat="1" applyFont="1" applyFill="1" applyAlignment="1">
      <alignment horizontal="left"/>
    </xf>
    <xf numFmtId="0" fontId="50" fillId="8" borderId="0" xfId="0" applyFont="1" applyFill="1" applyAlignment="1">
      <alignment/>
    </xf>
    <xf numFmtId="0" fontId="42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8" fillId="9" borderId="25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8" fillId="9" borderId="20" xfId="0" applyFont="1" applyFill="1" applyBorder="1" applyAlignment="1">
      <alignment horizontal="center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/>
      <protection locked="0"/>
    </xf>
    <xf numFmtId="0" fontId="1" fillId="9" borderId="31" xfId="0" applyFont="1" applyFill="1" applyBorder="1" applyAlignment="1">
      <alignment horizontal="right"/>
    </xf>
    <xf numFmtId="0" fontId="1" fillId="5" borderId="32" xfId="0" applyFont="1" applyFill="1" applyBorder="1" applyAlignment="1" applyProtection="1">
      <alignment horizontal="left"/>
      <protection locked="0"/>
    </xf>
    <xf numFmtId="2" fontId="1" fillId="9" borderId="19" xfId="0" applyNumberFormat="1" applyFont="1" applyFill="1" applyBorder="1" applyAlignment="1">
      <alignment horizontal="center" vertical="center" wrapText="1"/>
    </xf>
    <xf numFmtId="2" fontId="1" fillId="9" borderId="2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5" borderId="19" xfId="0" applyNumberFormat="1" applyFont="1" applyFill="1" applyBorder="1" applyAlignment="1" applyProtection="1">
      <alignment horizontal="center"/>
      <protection locked="0"/>
    </xf>
    <xf numFmtId="0" fontId="1" fillId="5" borderId="2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right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9" borderId="37" xfId="0" applyFont="1" applyFill="1" applyBorder="1" applyAlignment="1">
      <alignment horizontal="right"/>
    </xf>
    <xf numFmtId="0" fontId="1" fillId="5" borderId="38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199" fontId="32" fillId="6" borderId="0" xfId="0" applyNumberFormat="1" applyFont="1" applyFill="1" applyBorder="1" applyAlignment="1">
      <alignment horizontal="center"/>
    </xf>
    <xf numFmtId="199" fontId="32" fillId="6" borderId="39" xfId="0" applyNumberFormat="1" applyFont="1" applyFill="1" applyBorder="1" applyAlignment="1">
      <alignment horizontal="center"/>
    </xf>
    <xf numFmtId="199" fontId="32" fillId="6" borderId="40" xfId="0" applyNumberFormat="1" applyFont="1" applyFill="1" applyBorder="1" applyAlignment="1">
      <alignment horizontal="center"/>
    </xf>
    <xf numFmtId="199" fontId="32" fillId="6" borderId="41" xfId="0" applyNumberFormat="1" applyFont="1" applyFill="1" applyBorder="1" applyAlignment="1">
      <alignment horizontal="center"/>
    </xf>
    <xf numFmtId="199" fontId="32" fillId="6" borderId="40" xfId="0" applyNumberFormat="1" applyFont="1" applyFill="1" applyBorder="1" applyAlignment="1">
      <alignment horizontal="center"/>
    </xf>
    <xf numFmtId="199" fontId="32" fillId="6" borderId="42" xfId="0" applyNumberFormat="1" applyFont="1" applyFill="1" applyBorder="1" applyAlignment="1">
      <alignment horizontal="center"/>
    </xf>
    <xf numFmtId="199" fontId="42" fillId="3" borderId="0" xfId="0" applyNumberFormat="1" applyFont="1" applyFill="1" applyAlignment="1">
      <alignment horizontal="left"/>
    </xf>
    <xf numFmtId="198" fontId="55" fillId="9" borderId="43" xfId="0" applyNumberFormat="1" applyFont="1" applyFill="1" applyBorder="1" applyAlignment="1">
      <alignment horizontal="center"/>
    </xf>
    <xf numFmtId="0" fontId="56" fillId="4" borderId="9" xfId="0" applyFont="1" applyFill="1" applyBorder="1" applyAlignment="1">
      <alignment/>
    </xf>
    <xf numFmtId="0" fontId="56" fillId="4" borderId="44" xfId="0" applyFont="1" applyFill="1" applyBorder="1" applyAlignment="1">
      <alignment/>
    </xf>
    <xf numFmtId="0" fontId="58" fillId="6" borderId="45" xfId="0" applyFont="1" applyFill="1" applyBorder="1" applyAlignment="1">
      <alignment horizontal="center"/>
    </xf>
    <xf numFmtId="0" fontId="58" fillId="6" borderId="15" xfId="0" applyFont="1" applyFill="1" applyBorder="1" applyAlignment="1">
      <alignment horizontal="center"/>
    </xf>
    <xf numFmtId="49" fontId="58" fillId="6" borderId="46" xfId="0" applyNumberFormat="1" applyFont="1" applyFill="1" applyBorder="1" applyAlignment="1">
      <alignment horizontal="center"/>
    </xf>
    <xf numFmtId="0" fontId="58" fillId="6" borderId="47" xfId="0" applyFont="1" applyFill="1" applyBorder="1" applyAlignment="1">
      <alignment horizontal="center"/>
    </xf>
    <xf numFmtId="0" fontId="58" fillId="6" borderId="14" xfId="0" applyFont="1" applyFill="1" applyBorder="1" applyAlignment="1">
      <alignment horizontal="center"/>
    </xf>
    <xf numFmtId="49" fontId="58" fillId="6" borderId="48" xfId="0" applyNumberFormat="1" applyFont="1" applyFill="1" applyBorder="1" applyAlignment="1">
      <alignment horizontal="center"/>
    </xf>
    <xf numFmtId="199" fontId="59" fillId="6" borderId="49" xfId="0" applyNumberFormat="1" applyFont="1" applyFill="1" applyBorder="1" applyAlignment="1">
      <alignment horizontal="center"/>
    </xf>
    <xf numFmtId="199" fontId="59" fillId="6" borderId="40" xfId="0" applyNumberFormat="1" applyFont="1" applyFill="1" applyBorder="1" applyAlignment="1">
      <alignment horizontal="center"/>
    </xf>
    <xf numFmtId="199" fontId="59" fillId="6" borderId="50" xfId="0" applyNumberFormat="1" applyFont="1" applyFill="1" applyBorder="1" applyAlignment="1">
      <alignment horizontal="center"/>
    </xf>
    <xf numFmtId="199" fontId="59" fillId="6" borderId="39" xfId="0" applyNumberFormat="1" applyFont="1" applyFill="1" applyBorder="1" applyAlignment="1">
      <alignment horizontal="center"/>
    </xf>
    <xf numFmtId="199" fontId="59" fillId="6" borderId="0" xfId="0" applyNumberFormat="1" applyFont="1" applyFill="1" applyBorder="1" applyAlignment="1">
      <alignment horizontal="center"/>
    </xf>
    <xf numFmtId="199" fontId="59" fillId="6" borderId="42" xfId="0" applyNumberFormat="1" applyFont="1" applyFill="1" applyBorder="1" applyAlignment="1">
      <alignment horizontal="center"/>
    </xf>
    <xf numFmtId="199" fontId="59" fillId="6" borderId="51" xfId="0" applyNumberFormat="1" applyFont="1" applyFill="1" applyBorder="1" applyAlignment="1">
      <alignment horizontal="center"/>
    </xf>
    <xf numFmtId="199" fontId="59" fillId="6" borderId="41" xfId="0" applyNumberFormat="1" applyFont="1" applyFill="1" applyBorder="1" applyAlignment="1">
      <alignment horizontal="center"/>
    </xf>
    <xf numFmtId="199" fontId="59" fillId="6" borderId="52" xfId="0" applyNumberFormat="1" applyFont="1" applyFill="1" applyBorder="1" applyAlignment="1">
      <alignment horizontal="center"/>
    </xf>
    <xf numFmtId="2" fontId="60" fillId="3" borderId="0" xfId="0" applyNumberFormat="1" applyFont="1" applyFill="1" applyAlignment="1">
      <alignment horizontal="center" vertical="center"/>
    </xf>
    <xf numFmtId="2" fontId="54" fillId="3" borderId="0" xfId="0" applyNumberFormat="1" applyFont="1" applyFill="1" applyAlignment="1">
      <alignment horizontal="center" vertical="center"/>
    </xf>
    <xf numFmtId="200" fontId="49" fillId="3" borderId="0" xfId="0" applyNumberFormat="1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/>
    </xf>
    <xf numFmtId="2" fontId="54" fillId="3" borderId="5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64" fillId="4" borderId="0" xfId="0" applyFont="1" applyFill="1" applyAlignment="1">
      <alignment/>
    </xf>
    <xf numFmtId="0" fontId="1" fillId="4" borderId="0" xfId="0" applyFont="1" applyFill="1" applyAlignment="1">
      <alignment horizontal="center" vertical="top"/>
    </xf>
    <xf numFmtId="0" fontId="66" fillId="2" borderId="0" xfId="0" applyFont="1" applyFill="1" applyAlignment="1">
      <alignment horizontal="center"/>
    </xf>
    <xf numFmtId="0" fontId="1" fillId="4" borderId="54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198" fontId="60" fillId="3" borderId="0" xfId="0" applyNumberFormat="1" applyFont="1" applyFill="1" applyAlignment="1">
      <alignment horizontal="center" vertical="center"/>
    </xf>
    <xf numFmtId="198" fontId="54" fillId="3" borderId="0" xfId="0" applyNumberFormat="1" applyFont="1" applyFill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43" fillId="7" borderId="59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99" fontId="46" fillId="9" borderId="60" xfId="0" applyNumberFormat="1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43" fillId="7" borderId="55" xfId="0" applyFont="1" applyFill="1" applyBorder="1" applyAlignment="1">
      <alignment horizontal="center" vertical="center"/>
    </xf>
    <xf numFmtId="0" fontId="43" fillId="7" borderId="61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99" fontId="46" fillId="9" borderId="61" xfId="0" applyNumberFormat="1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43" fillId="7" borderId="62" xfId="0" applyFont="1" applyFill="1" applyBorder="1" applyAlignment="1">
      <alignment horizontal="center" vertical="center"/>
    </xf>
    <xf numFmtId="0" fontId="1" fillId="5" borderId="63" xfId="0" applyFont="1" applyFill="1" applyBorder="1" applyAlignment="1" applyProtection="1">
      <alignment horizontal="center" vertical="center"/>
      <protection locked="0"/>
    </xf>
    <xf numFmtId="199" fontId="46" fillId="9" borderId="62" xfId="0" applyNumberFormat="1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43" fillId="7" borderId="57" xfId="0" applyFont="1" applyFill="1" applyBorder="1" applyAlignment="1">
      <alignment horizontal="center" vertical="center"/>
    </xf>
    <xf numFmtId="0" fontId="43" fillId="7" borderId="64" xfId="0" applyFont="1" applyFill="1" applyBorder="1" applyAlignment="1">
      <alignment horizontal="center" vertical="center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199" fontId="46" fillId="9" borderId="64" xfId="0" applyNumberFormat="1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43" fillId="4" borderId="66" xfId="0" applyFont="1" applyFill="1" applyBorder="1" applyAlignment="1">
      <alignment horizontal="center" vertical="center"/>
    </xf>
    <xf numFmtId="0" fontId="43" fillId="4" borderId="67" xfId="0" applyFont="1" applyFill="1" applyBorder="1" applyAlignment="1">
      <alignment horizontal="center" vertical="center"/>
    </xf>
    <xf numFmtId="0" fontId="1" fillId="10" borderId="68" xfId="0" applyFont="1" applyFill="1" applyBorder="1" applyAlignment="1" applyProtection="1">
      <alignment horizontal="center" vertical="center"/>
      <protection locked="0"/>
    </xf>
    <xf numFmtId="199" fontId="46" fillId="11" borderId="67" xfId="0" applyNumberFormat="1" applyFont="1" applyFill="1" applyBorder="1" applyAlignment="1">
      <alignment horizontal="center" vertical="center"/>
    </xf>
    <xf numFmtId="0" fontId="1" fillId="7" borderId="69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43" fillId="4" borderId="69" xfId="0" applyFont="1" applyFill="1" applyBorder="1" applyAlignment="1">
      <alignment horizontal="center" vertical="center"/>
    </xf>
    <xf numFmtId="0" fontId="43" fillId="4" borderId="70" xfId="0" applyFont="1" applyFill="1" applyBorder="1" applyAlignment="1">
      <alignment horizontal="center" vertical="center"/>
    </xf>
    <xf numFmtId="0" fontId="1" fillId="10" borderId="71" xfId="0" applyFont="1" applyFill="1" applyBorder="1" applyAlignment="1" applyProtection="1">
      <alignment horizontal="center" vertical="center"/>
      <protection locked="0"/>
    </xf>
    <xf numFmtId="199" fontId="46" fillId="11" borderId="70" xfId="0" applyNumberFormat="1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7" borderId="73" xfId="0" applyFont="1" applyFill="1" applyBorder="1" applyAlignment="1">
      <alignment horizontal="center" vertical="center"/>
    </xf>
    <xf numFmtId="0" fontId="43" fillId="4" borderId="72" xfId="0" applyFont="1" applyFill="1" applyBorder="1" applyAlignment="1">
      <alignment horizontal="center" vertical="center"/>
    </xf>
    <xf numFmtId="0" fontId="43" fillId="4" borderId="73" xfId="0" applyFont="1" applyFill="1" applyBorder="1" applyAlignment="1">
      <alignment horizontal="center" vertical="center"/>
    </xf>
    <xf numFmtId="0" fontId="1" fillId="10" borderId="74" xfId="0" applyFont="1" applyFill="1" applyBorder="1" applyAlignment="1" applyProtection="1">
      <alignment horizontal="center" vertical="center"/>
      <protection locked="0"/>
    </xf>
    <xf numFmtId="199" fontId="46" fillId="11" borderId="73" xfId="0" applyNumberFormat="1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43" fillId="7" borderId="58" xfId="0" applyFont="1" applyFill="1" applyBorder="1" applyAlignment="1">
      <alignment horizontal="center" vertical="center"/>
    </xf>
    <xf numFmtId="0" fontId="44" fillId="7" borderId="75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99" fontId="46" fillId="9" borderId="75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43" fillId="7" borderId="44" xfId="0" applyFont="1" applyFill="1" applyBorder="1" applyAlignment="1">
      <alignment horizontal="center" vertical="center"/>
    </xf>
    <xf numFmtId="0" fontId="43" fillId="7" borderId="76" xfId="0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99" fontId="46" fillId="9" borderId="76" xfId="0" applyNumberFormat="1" applyFont="1" applyFill="1" applyBorder="1" applyAlignment="1">
      <alignment horizontal="center" vertical="center"/>
    </xf>
    <xf numFmtId="199" fontId="46" fillId="9" borderId="7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1" fillId="5" borderId="25" xfId="0" applyFont="1" applyFill="1" applyBorder="1" applyAlignment="1" applyProtection="1">
      <alignment horizontal="left"/>
      <protection locked="0"/>
    </xf>
    <xf numFmtId="0" fontId="1" fillId="5" borderId="26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65" fillId="4" borderId="57" xfId="0" applyFont="1" applyFill="1" applyBorder="1" applyAlignment="1">
      <alignment horizontal="left"/>
    </xf>
    <xf numFmtId="0" fontId="22" fillId="3" borderId="78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center" vertical="center"/>
    </xf>
    <xf numFmtId="0" fontId="25" fillId="3" borderId="78" xfId="0" applyFont="1" applyFill="1" applyBorder="1" applyAlignment="1">
      <alignment horizontal="center" vertical="center"/>
    </xf>
    <xf numFmtId="0" fontId="25" fillId="3" borderId="80" xfId="0" applyFont="1" applyFill="1" applyBorder="1" applyAlignment="1">
      <alignment horizontal="center" vertical="center"/>
    </xf>
    <xf numFmtId="0" fontId="25" fillId="3" borderId="7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/>
    </xf>
    <xf numFmtId="0" fontId="23" fillId="12" borderId="43" xfId="0" applyFont="1" applyFill="1" applyBorder="1" applyAlignment="1">
      <alignment/>
    </xf>
    <xf numFmtId="0" fontId="23" fillId="12" borderId="7" xfId="0" applyFont="1" applyFill="1" applyBorder="1" applyAlignment="1">
      <alignment/>
    </xf>
    <xf numFmtId="0" fontId="65" fillId="4" borderId="81" xfId="0" applyFont="1" applyFill="1" applyBorder="1" applyAlignment="1">
      <alignment horizontal="left"/>
    </xf>
    <xf numFmtId="0" fontId="65" fillId="4" borderId="82" xfId="0" applyFont="1" applyFill="1" applyBorder="1" applyAlignment="1">
      <alignment horizontal="left"/>
    </xf>
    <xf numFmtId="0" fontId="65" fillId="4" borderId="56" xfId="0" applyFont="1" applyFill="1" applyBorder="1" applyAlignment="1">
      <alignment horizontal="left"/>
    </xf>
    <xf numFmtId="0" fontId="65" fillId="4" borderId="83" xfId="0" applyFont="1" applyFill="1" applyBorder="1" applyAlignment="1">
      <alignment horizontal="left"/>
    </xf>
    <xf numFmtId="0" fontId="65" fillId="4" borderId="8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5" borderId="86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0" fontId="1" fillId="7" borderId="88" xfId="0" applyFont="1" applyFill="1" applyBorder="1" applyAlignment="1">
      <alignment horizontal="center" vertical="center" wrapText="1"/>
    </xf>
    <xf numFmtId="0" fontId="1" fillId="7" borderId="89" xfId="0" applyFont="1" applyFill="1" applyBorder="1" applyAlignment="1">
      <alignment horizontal="center" vertical="center" wrapText="1"/>
    </xf>
    <xf numFmtId="0" fontId="1" fillId="7" borderId="90" xfId="0" applyFont="1" applyFill="1" applyBorder="1" applyAlignment="1">
      <alignment horizontal="center" vertical="center" wrapText="1"/>
    </xf>
    <xf numFmtId="0" fontId="8" fillId="9" borderId="91" xfId="0" applyFont="1" applyFill="1" applyBorder="1" applyAlignment="1">
      <alignment horizontal="left" vertical="center"/>
    </xf>
    <xf numFmtId="0" fontId="8" fillId="9" borderId="92" xfId="0" applyFont="1" applyFill="1" applyBorder="1" applyAlignment="1">
      <alignment horizontal="left" vertical="center"/>
    </xf>
    <xf numFmtId="0" fontId="8" fillId="9" borderId="93" xfId="0" applyFont="1" applyFill="1" applyBorder="1" applyAlignment="1">
      <alignment horizontal="left" vertical="center"/>
    </xf>
    <xf numFmtId="2" fontId="20" fillId="13" borderId="28" xfId="0" applyNumberFormat="1" applyFont="1" applyFill="1" applyBorder="1" applyAlignment="1">
      <alignment horizontal="center" vertical="center" wrapText="1"/>
    </xf>
    <xf numFmtId="2" fontId="20" fillId="13" borderId="27" xfId="0" applyNumberFormat="1" applyFont="1" applyFill="1" applyBorder="1" applyAlignment="1">
      <alignment horizontal="center" vertical="center" wrapText="1"/>
    </xf>
    <xf numFmtId="0" fontId="8" fillId="9" borderId="94" xfId="0" applyFont="1" applyFill="1" applyBorder="1" applyAlignment="1">
      <alignment horizontal="left" vertical="center"/>
    </xf>
    <xf numFmtId="0" fontId="8" fillId="9" borderId="95" xfId="0" applyFont="1" applyFill="1" applyBorder="1" applyAlignment="1">
      <alignment horizontal="left" vertical="center"/>
    </xf>
    <xf numFmtId="0" fontId="8" fillId="9" borderId="96" xfId="0" applyFont="1" applyFill="1" applyBorder="1" applyAlignment="1">
      <alignment horizontal="left" vertical="center"/>
    </xf>
    <xf numFmtId="0" fontId="51" fillId="13" borderId="28" xfId="0" applyFont="1" applyFill="1" applyBorder="1" applyAlignment="1">
      <alignment horizontal="center" vertical="center" wrapText="1"/>
    </xf>
    <xf numFmtId="0" fontId="51" fillId="13" borderId="97" xfId="0" applyFont="1" applyFill="1" applyBorder="1" applyAlignment="1">
      <alignment horizontal="center" vertical="center" wrapText="1"/>
    </xf>
    <xf numFmtId="0" fontId="51" fillId="13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9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0" fontId="53" fillId="9" borderId="97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9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 applyProtection="1">
      <alignment horizontal="left" indent="1"/>
      <protection locked="0"/>
    </xf>
    <xf numFmtId="0" fontId="8" fillId="5" borderId="22" xfId="0" applyFont="1" applyFill="1" applyBorder="1" applyAlignment="1" applyProtection="1">
      <alignment horizontal="left" indent="1"/>
      <protection locked="0"/>
    </xf>
    <xf numFmtId="0" fontId="8" fillId="5" borderId="23" xfId="0" applyFont="1" applyFill="1" applyBorder="1" applyAlignment="1" applyProtection="1">
      <alignment horizontal="left" indent="1"/>
      <protection locked="0"/>
    </xf>
    <xf numFmtId="0" fontId="8" fillId="5" borderId="37" xfId="0" applyFont="1" applyFill="1" applyBorder="1" applyAlignment="1" applyProtection="1">
      <alignment horizontal="left" indent="1"/>
      <protection locked="0"/>
    </xf>
    <xf numFmtId="0" fontId="8" fillId="5" borderId="30" xfId="0" applyFont="1" applyFill="1" applyBorder="1" applyAlignment="1" applyProtection="1">
      <alignment horizontal="left" indent="1"/>
      <protection locked="0"/>
    </xf>
    <xf numFmtId="0" fontId="8" fillId="5" borderId="38" xfId="0" applyFont="1" applyFill="1" applyBorder="1" applyAlignment="1" applyProtection="1">
      <alignment horizontal="left" indent="1"/>
      <protection locked="0"/>
    </xf>
    <xf numFmtId="0" fontId="8" fillId="9" borderId="31" xfId="0" applyFont="1" applyFill="1" applyBorder="1" applyAlignment="1">
      <alignment horizontal="center" vertical="center" wrapText="1"/>
    </xf>
    <xf numFmtId="0" fontId="8" fillId="9" borderId="98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8F8F8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12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0.91325"/>
          <c:h val="0.94025"/>
        </c:manualLayout>
      </c:layout>
      <c:surface3DChart>
        <c:ser>
          <c:idx val="0"/>
          <c:order val="0"/>
          <c:tx>
            <c:strRef>
              <c:f>'ПФЭ-2F'!$C$53</c:f>
              <c:strCache>
                <c:ptCount val="1"/>
                <c:pt idx="0">
                  <c:v>2,500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'ПФЭ-2F'!$D$53:$L$53</c:f>
              <c:numCache>
                <c:ptCount val="9"/>
                <c:pt idx="0">
                  <c:v>128.58333333333331</c:v>
                </c:pt>
                <c:pt idx="1">
                  <c:v>123.97916666666666</c:v>
                </c:pt>
                <c:pt idx="2">
                  <c:v>119.625</c:v>
                </c:pt>
                <c:pt idx="3">
                  <c:v>115.52083333333331</c:v>
                </c:pt>
                <c:pt idx="4">
                  <c:v>111.66666666666666</c:v>
                </c:pt>
                <c:pt idx="5">
                  <c:v>108.0625</c:v>
                </c:pt>
                <c:pt idx="6">
                  <c:v>104.70833333333331</c:v>
                </c:pt>
                <c:pt idx="7">
                  <c:v>101.60416666666666</c:v>
                </c:pt>
                <c:pt idx="8">
                  <c:v>98.74999999999999</c:v>
                </c:pt>
              </c:numCache>
            </c:numRef>
          </c:val>
        </c:ser>
        <c:ser>
          <c:idx val="1"/>
          <c:order val="1"/>
          <c:tx>
            <c:strRef>
              <c:f>'ПФЭ-2F'!$C$54</c:f>
              <c:strCache>
                <c:ptCount val="1"/>
                <c:pt idx="0">
                  <c:v>2,625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129.16666666666666</c:v>
                </c:pt>
                <c:pt idx="1">
                  <c:v>124.703125</c:v>
                </c:pt>
                <c:pt idx="2">
                  <c:v>120.48958333333334</c:v>
                </c:pt>
                <c:pt idx="3">
                  <c:v>116.52604166666666</c:v>
                </c:pt>
                <c:pt idx="4">
                  <c:v>112.8125</c:v>
                </c:pt>
                <c:pt idx="5">
                  <c:v>109.34895833333333</c:v>
                </c:pt>
                <c:pt idx="6">
                  <c:v>106.13541666666667</c:v>
                </c:pt>
                <c:pt idx="7">
                  <c:v>103.171875</c:v>
                </c:pt>
                <c:pt idx="8">
                  <c:v>100.45833333333333</c:v>
                </c:pt>
              </c:numCache>
            </c:numRef>
          </c:val>
        </c:ser>
        <c:ser>
          <c:idx val="2"/>
          <c:order val="2"/>
          <c:tx>
            <c:strRef>
              <c:f>'ПФЭ-2F'!$C$55</c:f>
              <c:strCache>
                <c:ptCount val="1"/>
                <c:pt idx="0">
                  <c:v>2,750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126.375</c:v>
                </c:pt>
                <c:pt idx="1">
                  <c:v>122.05208333333333</c:v>
                </c:pt>
                <c:pt idx="2">
                  <c:v>117.97916666666666</c:v>
                </c:pt>
                <c:pt idx="3">
                  <c:v>114.15625</c:v>
                </c:pt>
                <c:pt idx="4">
                  <c:v>110.58333333333333</c:v>
                </c:pt>
                <c:pt idx="5">
                  <c:v>107.26041666666666</c:v>
                </c:pt>
                <c:pt idx="6">
                  <c:v>104.1875</c:v>
                </c:pt>
                <c:pt idx="7">
                  <c:v>101.36458333333333</c:v>
                </c:pt>
                <c:pt idx="8">
                  <c:v>98.79166666666666</c:v>
                </c:pt>
              </c:numCache>
            </c:numRef>
          </c:val>
        </c:ser>
        <c:ser>
          <c:idx val="3"/>
          <c:order val="3"/>
          <c:tx>
            <c:strRef>
              <c:f>'ПФЭ-2F'!$C$56</c:f>
              <c:strCache>
                <c:ptCount val="1"/>
                <c:pt idx="0">
                  <c:v>2,875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120.20833333333334</c:v>
                </c:pt>
                <c:pt idx="1">
                  <c:v>116.02604166666667</c:v>
                </c:pt>
                <c:pt idx="2">
                  <c:v>112.09375</c:v>
                </c:pt>
                <c:pt idx="3">
                  <c:v>108.41145833333334</c:v>
                </c:pt>
                <c:pt idx="4">
                  <c:v>104.97916666666667</c:v>
                </c:pt>
                <c:pt idx="5">
                  <c:v>101.796875</c:v>
                </c:pt>
                <c:pt idx="6">
                  <c:v>98.86458333333334</c:v>
                </c:pt>
                <c:pt idx="7">
                  <c:v>96.18229166666667</c:v>
                </c:pt>
                <c:pt idx="8">
                  <c:v>93.75</c:v>
                </c:pt>
              </c:numCache>
            </c:numRef>
          </c:val>
        </c:ser>
        <c:ser>
          <c:idx val="4"/>
          <c:order val="4"/>
          <c:tx>
            <c:strRef>
              <c:f>'ПФЭ-2F'!$C$57</c:f>
              <c:strCache>
                <c:ptCount val="1"/>
                <c:pt idx="0">
                  <c:v>3,000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110.66666666666667</c:v>
                </c:pt>
                <c:pt idx="1">
                  <c:v>106.625</c:v>
                </c:pt>
                <c:pt idx="2">
                  <c:v>102.83333333333333</c:v>
                </c:pt>
                <c:pt idx="3">
                  <c:v>99.29166666666667</c:v>
                </c:pt>
                <c:pt idx="4">
                  <c:v>96</c:v>
                </c:pt>
                <c:pt idx="5">
                  <c:v>92.95833333333333</c:v>
                </c:pt>
                <c:pt idx="6">
                  <c:v>90.16666666666667</c:v>
                </c:pt>
                <c:pt idx="7">
                  <c:v>87.625</c:v>
                </c:pt>
                <c:pt idx="8">
                  <c:v>85.33333333333333</c:v>
                </c:pt>
              </c:numCache>
            </c:numRef>
          </c:val>
        </c:ser>
        <c:ser>
          <c:idx val="5"/>
          <c:order val="5"/>
          <c:tx>
            <c:strRef>
              <c:f>'ПФЭ-2F'!$C$58</c:f>
              <c:strCache>
                <c:ptCount val="1"/>
                <c:pt idx="0">
                  <c:v>3,125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97.75</c:v>
                </c:pt>
                <c:pt idx="1">
                  <c:v>93.84895833333333</c:v>
                </c:pt>
                <c:pt idx="2">
                  <c:v>90.19791666666666</c:v>
                </c:pt>
                <c:pt idx="3">
                  <c:v>86.796875</c:v>
                </c:pt>
                <c:pt idx="4">
                  <c:v>83.64583333333333</c:v>
                </c:pt>
                <c:pt idx="5">
                  <c:v>80.74479166666666</c:v>
                </c:pt>
                <c:pt idx="6">
                  <c:v>78.09375</c:v>
                </c:pt>
                <c:pt idx="7">
                  <c:v>75.69270833333333</c:v>
                </c:pt>
                <c:pt idx="8">
                  <c:v>73.54166666666666</c:v>
                </c:pt>
              </c:numCache>
            </c:numRef>
          </c:val>
        </c:ser>
        <c:ser>
          <c:idx val="6"/>
          <c:order val="6"/>
          <c:tx>
            <c:strRef>
              <c:f>'ПФЭ-2F'!$C$59</c:f>
              <c:strCache>
                <c:ptCount val="1"/>
                <c:pt idx="0">
                  <c:v>3,250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81.45833333333334</c:v>
                </c:pt>
                <c:pt idx="1">
                  <c:v>77.69791666666667</c:v>
                </c:pt>
                <c:pt idx="2">
                  <c:v>74.1875</c:v>
                </c:pt>
                <c:pt idx="3">
                  <c:v>70.92708333333334</c:v>
                </c:pt>
                <c:pt idx="4">
                  <c:v>67.91666666666667</c:v>
                </c:pt>
                <c:pt idx="5">
                  <c:v>65.15625</c:v>
                </c:pt>
                <c:pt idx="6">
                  <c:v>62.64583333333334</c:v>
                </c:pt>
                <c:pt idx="7">
                  <c:v>60.38541666666667</c:v>
                </c:pt>
                <c:pt idx="8">
                  <c:v>58.37500000000001</c:v>
                </c:pt>
              </c:numCache>
            </c:numRef>
          </c:val>
        </c:ser>
        <c:ser>
          <c:idx val="7"/>
          <c:order val="7"/>
          <c:tx>
            <c:strRef>
              <c:f>'ПФЭ-2F'!$C$60</c:f>
              <c:strCache>
                <c:ptCount val="1"/>
                <c:pt idx="0">
                  <c:v>3,375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61.79166666666667</c:v>
                </c:pt>
                <c:pt idx="1">
                  <c:v>58.171875</c:v>
                </c:pt>
                <c:pt idx="2">
                  <c:v>54.80208333333333</c:v>
                </c:pt>
                <c:pt idx="3">
                  <c:v>51.68229166666667</c:v>
                </c:pt>
                <c:pt idx="4">
                  <c:v>48.8125</c:v>
                </c:pt>
                <c:pt idx="5">
                  <c:v>46.192708333333336</c:v>
                </c:pt>
                <c:pt idx="6">
                  <c:v>43.822916666666664</c:v>
                </c:pt>
                <c:pt idx="7">
                  <c:v>41.703125</c:v>
                </c:pt>
                <c:pt idx="8">
                  <c:v>39.833333333333336</c:v>
                </c:pt>
              </c:numCache>
            </c:numRef>
          </c:val>
        </c:ser>
        <c:ser>
          <c:idx val="8"/>
          <c:order val="8"/>
          <c:tx>
            <c:strRef>
              <c:f>'ПФЭ-2F'!$C$61</c:f>
              <c:strCache>
                <c:ptCount val="1"/>
                <c:pt idx="0">
                  <c:v>3,500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38.75</c:v>
                </c:pt>
                <c:pt idx="1">
                  <c:v>35.270833333333336</c:v>
                </c:pt>
                <c:pt idx="2">
                  <c:v>32.04166666666667</c:v>
                </c:pt>
                <c:pt idx="3">
                  <c:v>29.0625</c:v>
                </c:pt>
                <c:pt idx="4">
                  <c:v>26.333333333333336</c:v>
                </c:pt>
                <c:pt idx="5">
                  <c:v>23.85416666666667</c:v>
                </c:pt>
                <c:pt idx="6">
                  <c:v>21.625</c:v>
                </c:pt>
                <c:pt idx="7">
                  <c:v>19.645833333333336</c:v>
                </c:pt>
                <c:pt idx="8">
                  <c:v>17.91666666666667</c:v>
                </c:pt>
              </c:numCache>
            </c:numRef>
          </c:val>
        </c:ser>
        <c:axId val="29599455"/>
        <c:axId val="65068504"/>
        <c:axId val="48745625"/>
      </c:surface3D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Х2</a:t>
                </a:r>
              </a:p>
            </c:rich>
          </c:tx>
          <c:layout>
            <c:manualLayout>
              <c:xMode val="factor"/>
              <c:yMode val="factor"/>
              <c:x val="0.015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5068504"/>
        <c:crossesAt val="0"/>
        <c:auto val="1"/>
        <c:lblOffset val="100"/>
        <c:noMultiLvlLbl val="0"/>
      </c:catAx>
      <c:valAx>
        <c:axId val="65068504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;[Red]\-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99455"/>
        <c:crossesAt val="1"/>
        <c:crossBetween val="between"/>
        <c:dispUnits/>
        <c:majorUnit val="10"/>
        <c:minorUnit val="5"/>
      </c:valAx>
      <c:ser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Х1</a:t>
                </a:r>
              </a:p>
            </c:rich>
          </c:tx>
          <c:layout>
            <c:manualLayout>
              <c:xMode val="factor"/>
              <c:yMode val="factor"/>
              <c:x val="0.01925"/>
              <c:y val="0.0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506850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3142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515"/>
          <c:w val="0.87375"/>
          <c:h val="0.88475"/>
        </c:manualLayout>
      </c:layout>
      <c:lineChart>
        <c:grouping val="standard"/>
        <c:varyColors val="1"/>
        <c:ser>
          <c:idx val="0"/>
          <c:order val="0"/>
          <c:tx>
            <c:strRef>
              <c:f>'ПФЭ-2F'!$C$53</c:f>
              <c:strCache>
                <c:ptCount val="1"/>
                <c:pt idx="0">
                  <c:v>2,500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('ПФЭ-2F'!$D$53,'ПФЭ-2F'!$F$53,'ПФЭ-2F'!$H$53,'ПФЭ-2F'!$J$53,'ПФЭ-2F'!$L$53)</c:f>
              <c:numCache>
                <c:ptCount val="5"/>
                <c:pt idx="0">
                  <c:v>128.58333333333331</c:v>
                </c:pt>
                <c:pt idx="1">
                  <c:v>119.625</c:v>
                </c:pt>
                <c:pt idx="2">
                  <c:v>111.66666666666666</c:v>
                </c:pt>
                <c:pt idx="3">
                  <c:v>104.70833333333331</c:v>
                </c:pt>
                <c:pt idx="4">
                  <c:v>98.74999999999999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'ПФЭ-2F'!$C$54</c:f>
              <c:strCache>
                <c:ptCount val="1"/>
                <c:pt idx="0">
                  <c:v>2,625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('ПФЭ-2F'!$D$54,'ПФЭ-2F'!$F$54,'ПФЭ-2F'!$H$54,'ПФЭ-2F'!$J$54,'ПФЭ-2F'!$L$54)</c:f>
              <c:numCache>
                <c:ptCount val="5"/>
                <c:pt idx="0">
                  <c:v>129.16666666666666</c:v>
                </c:pt>
                <c:pt idx="1">
                  <c:v>120.48958333333334</c:v>
                </c:pt>
                <c:pt idx="2">
                  <c:v>112.8125</c:v>
                </c:pt>
                <c:pt idx="3">
                  <c:v>106.13541666666667</c:v>
                </c:pt>
                <c:pt idx="4">
                  <c:v>100.45833333333333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'ПФЭ-2F'!$C$55</c:f>
              <c:strCache>
                <c:ptCount val="1"/>
                <c:pt idx="0">
                  <c:v>2,750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('ПФЭ-2F'!$D$55,'ПФЭ-2F'!$F$55,'ПФЭ-2F'!$H$55,'ПФЭ-2F'!$J$55,'ПФЭ-2F'!$L$55)</c:f>
              <c:numCache>
                <c:ptCount val="5"/>
                <c:pt idx="0">
                  <c:v>126.375</c:v>
                </c:pt>
                <c:pt idx="1">
                  <c:v>117.97916666666666</c:v>
                </c:pt>
                <c:pt idx="2">
                  <c:v>110.58333333333333</c:v>
                </c:pt>
                <c:pt idx="3">
                  <c:v>104.1875</c:v>
                </c:pt>
                <c:pt idx="4">
                  <c:v>98.79166666666666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'ПФЭ-2F'!$C$56</c:f>
              <c:strCache>
                <c:ptCount val="1"/>
                <c:pt idx="0">
                  <c:v>2,875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('ПФЭ-2F'!$D$56,'ПФЭ-2F'!$F$56,'ПФЭ-2F'!$H$56,'ПФЭ-2F'!$J$56,'ПФЭ-2F'!$L$56)</c:f>
              <c:numCache>
                <c:ptCount val="5"/>
                <c:pt idx="0">
                  <c:v>120.20833333333334</c:v>
                </c:pt>
                <c:pt idx="1">
                  <c:v>112.09375</c:v>
                </c:pt>
                <c:pt idx="2">
                  <c:v>104.97916666666667</c:v>
                </c:pt>
                <c:pt idx="3">
                  <c:v>98.86458333333334</c:v>
                </c:pt>
                <c:pt idx="4">
                  <c:v>93.75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'ПФЭ-2F'!$C$57</c:f>
              <c:strCache>
                <c:ptCount val="1"/>
                <c:pt idx="0">
                  <c:v>3,000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('ПФЭ-2F'!$D$57,'ПФЭ-2F'!$F$57,'ПФЭ-2F'!$H$57,'ПФЭ-2F'!$J$57,'ПФЭ-2F'!$L$57)</c:f>
              <c:numCache>
                <c:ptCount val="5"/>
                <c:pt idx="0">
                  <c:v>110.66666666666667</c:v>
                </c:pt>
                <c:pt idx="1">
                  <c:v>102.83333333333333</c:v>
                </c:pt>
                <c:pt idx="2">
                  <c:v>96</c:v>
                </c:pt>
                <c:pt idx="3">
                  <c:v>90.16666666666667</c:v>
                </c:pt>
                <c:pt idx="4">
                  <c:v>85.33333333333333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'ПФЭ-2F'!$C$58</c:f>
              <c:strCache>
                <c:ptCount val="1"/>
                <c:pt idx="0">
                  <c:v>3,125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('ПФЭ-2F'!$D$58,'ПФЭ-2F'!$F$58,'ПФЭ-2F'!$H$58,'ПФЭ-2F'!$J$58,'ПФЭ-2F'!$L$58)</c:f>
              <c:numCache>
                <c:ptCount val="5"/>
                <c:pt idx="0">
                  <c:v>97.75</c:v>
                </c:pt>
                <c:pt idx="1">
                  <c:v>90.19791666666666</c:v>
                </c:pt>
                <c:pt idx="2">
                  <c:v>83.64583333333333</c:v>
                </c:pt>
                <c:pt idx="3">
                  <c:v>78.09375</c:v>
                </c:pt>
                <c:pt idx="4">
                  <c:v>73.54166666666666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'ПФЭ-2F'!$C$59</c:f>
              <c:strCache>
                <c:ptCount val="1"/>
                <c:pt idx="0">
                  <c:v>3,250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('ПФЭ-2F'!$D$59,'ПФЭ-2F'!$F$59,'ПФЭ-2F'!$H$59,'ПФЭ-2F'!$J$59,'ПФЭ-2F'!$L$59)</c:f>
              <c:numCache>
                <c:ptCount val="5"/>
                <c:pt idx="0">
                  <c:v>81.45833333333334</c:v>
                </c:pt>
                <c:pt idx="1">
                  <c:v>74.1875</c:v>
                </c:pt>
                <c:pt idx="2">
                  <c:v>67.91666666666667</c:v>
                </c:pt>
                <c:pt idx="3">
                  <c:v>62.64583333333334</c:v>
                </c:pt>
                <c:pt idx="4">
                  <c:v>58.37500000000001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'ПФЭ-2F'!$C$60</c:f>
              <c:strCache>
                <c:ptCount val="1"/>
                <c:pt idx="0">
                  <c:v>3,375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('ПФЭ-2F'!$D$60,'ПФЭ-2F'!$F$60,'ПФЭ-2F'!$H$60,'ПФЭ-2F'!$J$60,'ПФЭ-2F'!$L$60)</c:f>
              <c:numCache>
                <c:ptCount val="5"/>
                <c:pt idx="0">
                  <c:v>61.79166666666667</c:v>
                </c:pt>
                <c:pt idx="1">
                  <c:v>54.80208333333333</c:v>
                </c:pt>
                <c:pt idx="2">
                  <c:v>48.8125</c:v>
                </c:pt>
                <c:pt idx="3">
                  <c:v>43.822916666666664</c:v>
                </c:pt>
                <c:pt idx="4">
                  <c:v>39.833333333333336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'ПФЭ-2F'!$C$61</c:f>
              <c:strCache>
                <c:ptCount val="1"/>
                <c:pt idx="0">
                  <c:v>3,500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('ПФЭ-2F'!$D$61,'ПФЭ-2F'!$F$61,'ПФЭ-2F'!$H$61,'ПФЭ-2F'!$J$61,'ПФЭ-2F'!$L$61)</c:f>
              <c:numCache>
                <c:ptCount val="5"/>
                <c:pt idx="0">
                  <c:v>38.75</c:v>
                </c:pt>
                <c:pt idx="1">
                  <c:v>32.04166666666667</c:v>
                </c:pt>
                <c:pt idx="2">
                  <c:v>26.333333333333336</c:v>
                </c:pt>
                <c:pt idx="3">
                  <c:v>21.625</c:v>
                </c:pt>
                <c:pt idx="4">
                  <c:v>17.91666666666667</c:v>
                </c:pt>
              </c:numCache>
            </c:numRef>
          </c:val>
          <c:smooth val="1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Х2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081523"/>
        <c:crossesAt val="0"/>
        <c:auto val="1"/>
        <c:lblOffset val="100"/>
        <c:noMultiLvlLbl val="0"/>
      </c:catAx>
      <c:valAx>
        <c:axId val="5608152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057442"/>
        <c:crossesAt val="1"/>
        <c:crossBetween val="midCat"/>
        <c:dispUnits/>
        <c:majorUnit val="10"/>
        <c:minorUnit val="5"/>
      </c:valAx>
    </c:plotArea>
    <c:legend>
      <c:legendPos val="r"/>
      <c:layout>
        <c:manualLayout>
          <c:xMode val="edge"/>
          <c:yMode val="edge"/>
          <c:x val="0.248"/>
          <c:y val="0.90275"/>
          <c:w val="0.63225"/>
          <c:h val="0.07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40" verticalDpi="24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75"/>
  </sheetViews>
  <pageMargins left="0.75" right="0.75" top="1" bottom="1" header="0.5" footer="0.5"/>
  <pageSetup horizontalDpi="240" verticalDpi="240" orientation="landscape" paperSize="9"/>
  <headerFooter>
    <oddHeader>&amp;A</oddHeader>
    <oddFooter>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57</xdr:row>
      <xdr:rowOff>57150</xdr:rowOff>
    </xdr:from>
    <xdr:to>
      <xdr:col>0</xdr:col>
      <xdr:colOff>142875</xdr:colOff>
      <xdr:row>60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42875" y="9725025"/>
          <a:ext cx="0" cy="5524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5</xdr:col>
      <xdr:colOff>676275</xdr:colOff>
      <xdr:row>26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2419350" y="4438650"/>
          <a:ext cx="135255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676275</xdr:colOff>
      <xdr:row>26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1009650" y="4438650"/>
          <a:ext cx="135255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19050</xdr:rowOff>
    </xdr:from>
    <xdr:to>
      <xdr:col>7</xdr:col>
      <xdr:colOff>657225</xdr:colOff>
      <xdr:row>26</xdr:row>
      <xdr:rowOff>142875</xdr:rowOff>
    </xdr:to>
    <xdr:sp>
      <xdr:nvSpPr>
        <xdr:cNvPr id="4" name="Rectangle 6"/>
        <xdr:cNvSpPr>
          <a:spLocks/>
        </xdr:cNvSpPr>
      </xdr:nvSpPr>
      <xdr:spPr>
        <a:xfrm>
          <a:off x="3829050" y="4438650"/>
          <a:ext cx="129540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19050</xdr:rowOff>
    </xdr:from>
    <xdr:to>
      <xdr:col>1</xdr:col>
      <xdr:colOff>657225</xdr:colOff>
      <xdr:row>26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333375" y="4438650"/>
          <a:ext cx="60960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19"/>
  <sheetViews>
    <sheetView showGridLines="0" showRowColHeaders="0" tabSelected="1" zoomScale="168" zoomScaleNormal="168" zoomScaleSheetLayoutView="129" workbookViewId="0" topLeftCell="A17">
      <selection activeCell="A6" sqref="A6:L6"/>
    </sheetView>
  </sheetViews>
  <sheetFormatPr defaultColWidth="9.00390625" defaultRowHeight="12.75"/>
  <cols>
    <col min="1" max="1" width="3.625" style="0" customWidth="1"/>
    <col min="2" max="6" width="9.25390625" style="0" bestFit="1" customWidth="1"/>
    <col min="7" max="7" width="8.75390625" style="0" customWidth="1"/>
    <col min="8" max="9" width="9.25390625" style="0" bestFit="1" customWidth="1"/>
    <col min="10" max="10" width="11.00390625" style="0" bestFit="1" customWidth="1"/>
    <col min="11" max="11" width="9.25390625" style="0" bestFit="1" customWidth="1"/>
    <col min="12" max="12" width="9.25390625" style="0" customWidth="1"/>
    <col min="13" max="13" width="3.625" style="0" customWidth="1"/>
    <col min="21" max="22" width="9.25390625" style="0" bestFit="1" customWidth="1"/>
  </cols>
  <sheetData>
    <row r="1" spans="1:20" ht="12.75">
      <c r="A1" s="17"/>
      <c r="B1" s="17"/>
      <c r="C1" s="17"/>
      <c r="D1" s="17"/>
      <c r="E1" s="17"/>
      <c r="F1" s="17"/>
      <c r="G1" s="19" t="s">
        <v>0</v>
      </c>
      <c r="H1" s="17"/>
      <c r="I1" s="17"/>
      <c r="J1" s="17"/>
      <c r="K1" s="17"/>
      <c r="L1" s="17"/>
      <c r="M1" s="17"/>
      <c r="N1" s="17"/>
      <c r="O1" s="21" t="s">
        <v>1</v>
      </c>
      <c r="P1" s="17"/>
      <c r="Q1" s="17"/>
      <c r="R1" s="21"/>
      <c r="S1" s="17"/>
      <c r="T1" s="17"/>
    </row>
    <row r="2" spans="1:20" ht="16.5">
      <c r="A2" s="12"/>
      <c r="B2" s="12"/>
      <c r="C2" s="99"/>
      <c r="D2" s="13"/>
      <c r="E2" s="14"/>
      <c r="F2" s="12"/>
      <c r="G2" s="179" t="s">
        <v>75</v>
      </c>
      <c r="H2" s="12"/>
      <c r="I2" s="12"/>
      <c r="J2" s="12"/>
      <c r="K2" s="12"/>
      <c r="L2" s="12"/>
      <c r="M2" s="243"/>
      <c r="N2" s="17"/>
      <c r="O2" s="21" t="s">
        <v>2</v>
      </c>
      <c r="P2" s="17"/>
      <c r="Q2" s="17"/>
      <c r="R2" s="21"/>
      <c r="S2" s="17"/>
      <c r="T2" s="17"/>
    </row>
    <row r="3" spans="1:20" ht="15">
      <c r="A3" s="15"/>
      <c r="B3" s="15"/>
      <c r="C3" s="17"/>
      <c r="D3" s="20"/>
      <c r="E3" s="15"/>
      <c r="F3" s="15"/>
      <c r="G3" s="127" t="s">
        <v>76</v>
      </c>
      <c r="H3" s="15"/>
      <c r="I3" s="15"/>
      <c r="J3" s="15"/>
      <c r="K3" s="15"/>
      <c r="L3" s="15"/>
      <c r="M3" s="15"/>
      <c r="N3" s="17"/>
      <c r="O3" s="17"/>
      <c r="P3" s="17"/>
      <c r="Q3" s="17"/>
      <c r="R3" s="17"/>
      <c r="S3" s="17"/>
      <c r="T3" s="17"/>
    </row>
    <row r="4" spans="1:20" ht="12.75">
      <c r="A4" s="15"/>
      <c r="B4" s="17"/>
      <c r="C4" s="15"/>
      <c r="D4" s="15"/>
      <c r="E4" s="15"/>
      <c r="F4" s="15"/>
      <c r="G4" s="128" t="s">
        <v>77</v>
      </c>
      <c r="H4" s="15"/>
      <c r="I4" s="15"/>
      <c r="J4" s="15"/>
      <c r="K4" s="15"/>
      <c r="L4" s="15"/>
      <c r="M4" s="15"/>
      <c r="N4" s="17"/>
      <c r="O4" s="17"/>
      <c r="P4" s="17"/>
      <c r="Q4" s="17"/>
      <c r="R4" s="17"/>
      <c r="S4" s="17"/>
      <c r="T4" s="17"/>
    </row>
    <row r="5" spans="1:20" ht="5.25" customHeight="1">
      <c r="A5" s="15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7"/>
      <c r="O5" s="17"/>
      <c r="P5" s="17"/>
      <c r="Q5" s="17"/>
      <c r="R5" s="17"/>
      <c r="S5" s="17"/>
      <c r="T5" s="17"/>
    </row>
    <row r="6" spans="1:20" ht="12.75" customHeight="1">
      <c r="A6" s="15"/>
      <c r="B6" s="16"/>
      <c r="C6" s="15"/>
      <c r="D6" s="15"/>
      <c r="E6" s="15"/>
      <c r="F6" s="15"/>
      <c r="G6" s="43" t="s">
        <v>3</v>
      </c>
      <c r="H6" s="15"/>
      <c r="I6" s="15"/>
      <c r="J6" s="15"/>
      <c r="K6" s="15"/>
      <c r="L6" s="15"/>
      <c r="M6" s="15"/>
      <c r="N6" s="17"/>
      <c r="O6" s="17"/>
      <c r="P6" s="17"/>
      <c r="Q6" s="17"/>
      <c r="R6" s="17"/>
      <c r="S6" s="17"/>
      <c r="T6" s="17"/>
    </row>
    <row r="7" spans="1:20" ht="12.75">
      <c r="A7" s="63"/>
      <c r="B7" s="64" t="s">
        <v>48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15"/>
      <c r="N7" s="17"/>
      <c r="O7" s="17"/>
      <c r="P7" s="17"/>
      <c r="Q7" s="17"/>
      <c r="R7" s="17"/>
      <c r="S7" s="17"/>
      <c r="T7" s="17"/>
    </row>
    <row r="8" spans="1:20" ht="12.75">
      <c r="A8" s="63"/>
      <c r="B8" s="64" t="s">
        <v>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15"/>
      <c r="N8" s="17"/>
      <c r="O8" s="17"/>
      <c r="P8" s="17"/>
      <c r="Q8" s="17"/>
      <c r="R8" s="17"/>
      <c r="S8" s="17"/>
      <c r="T8" s="17"/>
    </row>
    <row r="9" spans="1:20" ht="12.75">
      <c r="A9" s="63"/>
      <c r="B9" s="64" t="s">
        <v>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15"/>
      <c r="N9" s="17"/>
      <c r="O9" s="17"/>
      <c r="P9" s="17"/>
      <c r="Q9" s="17"/>
      <c r="R9" s="17"/>
      <c r="S9" s="17"/>
      <c r="T9" s="17"/>
    </row>
    <row r="10" spans="1:20" ht="12.75">
      <c r="A10" s="63"/>
      <c r="B10" s="64" t="s">
        <v>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5"/>
      <c r="N10" s="17"/>
      <c r="O10" s="17"/>
      <c r="P10" s="17"/>
      <c r="Q10" s="17"/>
      <c r="R10" s="17"/>
      <c r="S10" s="17"/>
      <c r="T10" s="17"/>
    </row>
    <row r="11" spans="1:20" ht="5.25" customHeight="1">
      <c r="A11" s="15"/>
      <c r="B11" s="4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7"/>
      <c r="P11" s="17"/>
      <c r="Q11" s="17"/>
      <c r="R11" s="17"/>
      <c r="S11" s="17"/>
      <c r="T11" s="17"/>
    </row>
    <row r="12" spans="1:20" ht="13.5" thickBot="1">
      <c r="A12" s="17"/>
      <c r="B12" s="45" t="s">
        <v>7</v>
      </c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3.5" thickBot="1">
      <c r="A13" s="17"/>
      <c r="B13" s="91"/>
      <c r="C13" s="92" t="s">
        <v>8</v>
      </c>
      <c r="D13" s="92"/>
      <c r="E13" s="93"/>
      <c r="F13" s="100" t="s">
        <v>9</v>
      </c>
      <c r="G13" s="263" t="s">
        <v>10</v>
      </c>
      <c r="H13" s="80"/>
      <c r="I13" s="80" t="s">
        <v>11</v>
      </c>
      <c r="J13" s="80"/>
      <c r="K13" s="98" t="s">
        <v>12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3.5" thickBot="1">
      <c r="A14" s="17"/>
      <c r="B14" s="94"/>
      <c r="C14" s="95" t="s">
        <v>13</v>
      </c>
      <c r="D14" s="95"/>
      <c r="E14" s="96"/>
      <c r="F14" s="101" t="s">
        <v>14</v>
      </c>
      <c r="G14" s="264"/>
      <c r="H14" s="80">
        <v>-1</v>
      </c>
      <c r="I14" s="80">
        <v>0</v>
      </c>
      <c r="J14" s="81" t="s">
        <v>15</v>
      </c>
      <c r="K14" s="97" t="s">
        <v>16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17"/>
      <c r="B15" s="246" t="s">
        <v>106</v>
      </c>
      <c r="C15" s="247"/>
      <c r="D15" s="247"/>
      <c r="E15" s="248"/>
      <c r="F15" s="82" t="s">
        <v>104</v>
      </c>
      <c r="G15" s="250" t="s">
        <v>18</v>
      </c>
      <c r="H15" s="125">
        <v>2.5</v>
      </c>
      <c r="I15" s="125">
        <v>3</v>
      </c>
      <c r="J15" s="125">
        <v>3.5</v>
      </c>
      <c r="K15" s="83">
        <f>+J15-I15</f>
        <v>0.5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3.5" thickBot="1">
      <c r="A16" s="17"/>
      <c r="B16" s="249" t="s">
        <v>105</v>
      </c>
      <c r="C16" s="244"/>
      <c r="D16" s="244"/>
      <c r="E16" s="245"/>
      <c r="F16" s="84" t="s">
        <v>104</v>
      </c>
      <c r="G16" s="251" t="s">
        <v>17</v>
      </c>
      <c r="H16" s="126">
        <v>10</v>
      </c>
      <c r="I16" s="126">
        <v>25</v>
      </c>
      <c r="J16" s="126">
        <v>40</v>
      </c>
      <c r="K16" s="85">
        <f>+J16-I16</f>
        <v>15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3.5" thickBot="1">
      <c r="A18" s="18"/>
      <c r="B18" s="46" t="s">
        <v>56</v>
      </c>
      <c r="C18" s="18"/>
      <c r="D18" s="18"/>
      <c r="E18" s="18"/>
      <c r="F18" s="18"/>
      <c r="G18" s="17"/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40.5" customHeight="1" thickBot="1" thickTop="1">
      <c r="A19" s="17"/>
      <c r="B19" s="273" t="s">
        <v>19</v>
      </c>
      <c r="C19" s="258" t="s">
        <v>92</v>
      </c>
      <c r="D19" s="259"/>
      <c r="E19" s="260" t="s">
        <v>93</v>
      </c>
      <c r="F19" s="261"/>
      <c r="G19" s="277" t="s">
        <v>51</v>
      </c>
      <c r="H19" s="275" t="s">
        <v>20</v>
      </c>
      <c r="I19" s="17"/>
      <c r="J19" s="262" t="s">
        <v>53</v>
      </c>
      <c r="K19" s="262"/>
      <c r="L19" s="262"/>
      <c r="M19" s="21"/>
      <c r="N19" s="17"/>
      <c r="O19" s="17"/>
      <c r="P19" s="17"/>
      <c r="Q19" s="17"/>
      <c r="R19" s="17"/>
      <c r="S19" s="17"/>
      <c r="T19" s="17"/>
    </row>
    <row r="20" spans="1:27" ht="36" customHeight="1" thickBot="1" thickTop="1">
      <c r="A20" s="17"/>
      <c r="B20" s="274"/>
      <c r="C20" s="68" t="str">
        <f>+G15</f>
        <v>Х2</v>
      </c>
      <c r="D20" s="69" t="str">
        <f>+G16</f>
        <v>Х1</v>
      </c>
      <c r="E20" s="70" t="str">
        <f>B15</f>
        <v>Сода</v>
      </c>
      <c r="F20" s="71" t="str">
        <f>B16</f>
        <v>Клинкер</v>
      </c>
      <c r="G20" s="278"/>
      <c r="H20" s="276"/>
      <c r="I20" s="17"/>
      <c r="J20" s="72" t="s">
        <v>27</v>
      </c>
      <c r="K20" s="78">
        <f>V33*5/9-(Y33+Z33)/3</f>
        <v>96</v>
      </c>
      <c r="L20" s="103"/>
      <c r="M20" s="86"/>
      <c r="N20" s="17"/>
      <c r="O20" s="17"/>
      <c r="P20" s="17"/>
      <c r="Q20" s="17"/>
      <c r="R20" s="17"/>
      <c r="S20" s="17"/>
      <c r="T20" s="17"/>
      <c r="U20" s="9"/>
      <c r="V20" s="8" t="s">
        <v>21</v>
      </c>
      <c r="W20" s="8" t="s">
        <v>22</v>
      </c>
      <c r="X20" s="8" t="s">
        <v>23</v>
      </c>
      <c r="Y20" s="8" t="s">
        <v>24</v>
      </c>
      <c r="Z20" s="8" t="s">
        <v>25</v>
      </c>
      <c r="AA20" s="8" t="s">
        <v>26</v>
      </c>
    </row>
    <row r="21" spans="1:29" ht="13.5" customHeight="1" thickTop="1">
      <c r="A21" s="17"/>
      <c r="B21" s="180" t="s">
        <v>94</v>
      </c>
      <c r="C21" s="188">
        <v>1</v>
      </c>
      <c r="D21" s="189">
        <v>1</v>
      </c>
      <c r="E21" s="190">
        <f>J15</f>
        <v>3.5</v>
      </c>
      <c r="F21" s="191">
        <f>J16</f>
        <v>40</v>
      </c>
      <c r="G21" s="192">
        <v>18</v>
      </c>
      <c r="H21" s="193">
        <f aca="true" t="shared" si="0" ref="H21:H31">+$K$20+$K$22*C21+$K$23*D21+$K$25*C21*C21+$K$26*D21*D21+$K$28*C21*D21</f>
        <v>17.91666666666667</v>
      </c>
      <c r="I21" s="17"/>
      <c r="J21" s="22"/>
      <c r="K21" s="79"/>
      <c r="L21" s="17"/>
      <c r="M21" s="21"/>
      <c r="N21" s="17"/>
      <c r="O21" s="17"/>
      <c r="P21" s="17"/>
      <c r="Q21" s="17"/>
      <c r="R21" s="17"/>
      <c r="S21" s="17"/>
      <c r="T21" s="17"/>
      <c r="U21" s="3">
        <v>1</v>
      </c>
      <c r="V21" s="2">
        <f>+G21</f>
        <v>18</v>
      </c>
      <c r="W21" s="1">
        <f>+C21*G21</f>
        <v>18</v>
      </c>
      <c r="X21" s="1">
        <f>+D21*G21</f>
        <v>18</v>
      </c>
      <c r="Y21" s="1">
        <f>+C21*C21*G21</f>
        <v>18</v>
      </c>
      <c r="Z21" s="1">
        <f>+D21*D21*G21</f>
        <v>18</v>
      </c>
      <c r="AA21" s="1">
        <f>+G21*C21*D21</f>
        <v>18</v>
      </c>
      <c r="AC21">
        <f>+(G21-H21)^2</f>
        <v>0.006944444444443655</v>
      </c>
    </row>
    <row r="22" spans="1:29" ht="13.5" customHeight="1">
      <c r="A22" s="17"/>
      <c r="B22" s="181" t="s">
        <v>95</v>
      </c>
      <c r="C22" s="194">
        <v>0</v>
      </c>
      <c r="D22" s="195">
        <v>1</v>
      </c>
      <c r="E22" s="196">
        <f>I15</f>
        <v>3</v>
      </c>
      <c r="F22" s="197">
        <f>J16</f>
        <v>40</v>
      </c>
      <c r="G22" s="198">
        <v>85</v>
      </c>
      <c r="H22" s="199">
        <f t="shared" si="0"/>
        <v>85.33333333333333</v>
      </c>
      <c r="I22" s="17"/>
      <c r="J22" s="72" t="s">
        <v>28</v>
      </c>
      <c r="K22" s="78">
        <f>+W33/6</f>
        <v>-42.666666666666664</v>
      </c>
      <c r="L22" s="17"/>
      <c r="M22" s="17"/>
      <c r="N22" s="17"/>
      <c r="O22" s="17"/>
      <c r="P22" s="17"/>
      <c r="Q22" s="17"/>
      <c r="R22" s="17"/>
      <c r="S22" s="17"/>
      <c r="T22" s="17"/>
      <c r="U22" s="3">
        <v>2</v>
      </c>
      <c r="V22" s="2">
        <f>+G29</f>
        <v>39</v>
      </c>
      <c r="W22" s="1">
        <f>+C29*G29</f>
        <v>39</v>
      </c>
      <c r="X22" s="1">
        <f>+D29*G29</f>
        <v>-39</v>
      </c>
      <c r="Y22" s="1">
        <f>+C29*C29*G29</f>
        <v>39</v>
      </c>
      <c r="Z22" s="1">
        <f>+D29*D29*G29</f>
        <v>39</v>
      </c>
      <c r="AA22" s="1">
        <f>+G29*C29*D29</f>
        <v>-39</v>
      </c>
      <c r="AC22">
        <f>+(G29-H29)^2</f>
        <v>0.0625</v>
      </c>
    </row>
    <row r="23" spans="1:29" ht="13.5" customHeight="1" thickBot="1">
      <c r="A23" s="17"/>
      <c r="B23" s="182" t="s">
        <v>96</v>
      </c>
      <c r="C23" s="200">
        <v>-1</v>
      </c>
      <c r="D23" s="201">
        <v>1</v>
      </c>
      <c r="E23" s="202">
        <f>H15</f>
        <v>2.5</v>
      </c>
      <c r="F23" s="203">
        <f>J16</f>
        <v>40</v>
      </c>
      <c r="G23" s="204">
        <v>99</v>
      </c>
      <c r="H23" s="205">
        <f t="shared" si="0"/>
        <v>98.74999999999999</v>
      </c>
      <c r="I23" s="17"/>
      <c r="J23" s="72" t="s">
        <v>29</v>
      </c>
      <c r="K23" s="78">
        <f>+X33/6</f>
        <v>-12.666666666666666</v>
      </c>
      <c r="L23" s="17"/>
      <c r="M23" s="17"/>
      <c r="N23" s="17"/>
      <c r="O23" s="17"/>
      <c r="P23" s="17"/>
      <c r="Q23" s="17"/>
      <c r="R23" s="17"/>
      <c r="S23" s="17"/>
      <c r="T23" s="17"/>
      <c r="U23" s="3">
        <v>3</v>
      </c>
      <c r="V23" s="2">
        <f>+G23</f>
        <v>99</v>
      </c>
      <c r="W23" s="1">
        <f>+C23*G23</f>
        <v>-99</v>
      </c>
      <c r="X23" s="1">
        <f>+D23*G23</f>
        <v>99</v>
      </c>
      <c r="Y23" s="1">
        <f>+C23*C23*G23</f>
        <v>99</v>
      </c>
      <c r="Z23" s="1">
        <f>+D23*D23*G23</f>
        <v>99</v>
      </c>
      <c r="AA23" s="1">
        <f>+G23*C23*D23</f>
        <v>-99</v>
      </c>
      <c r="AC23">
        <f>+(G23-H23)^2</f>
        <v>0.0625000000000071</v>
      </c>
    </row>
    <row r="24" spans="1:29" ht="13.5" customHeight="1" thickTop="1">
      <c r="A24" s="17"/>
      <c r="B24" s="183" t="s">
        <v>97</v>
      </c>
      <c r="C24" s="206">
        <v>1</v>
      </c>
      <c r="D24" s="207">
        <v>0</v>
      </c>
      <c r="E24" s="208">
        <f>J15</f>
        <v>3.5</v>
      </c>
      <c r="F24" s="209">
        <f>I16</f>
        <v>25</v>
      </c>
      <c r="G24" s="210">
        <v>26</v>
      </c>
      <c r="H24" s="211">
        <f t="shared" si="0"/>
        <v>26.333333333333336</v>
      </c>
      <c r="I24" s="17"/>
      <c r="J24" s="24"/>
      <c r="K24" s="79"/>
      <c r="L24" s="17"/>
      <c r="M24" s="17"/>
      <c r="N24" s="17"/>
      <c r="O24" s="17"/>
      <c r="P24" s="17"/>
      <c r="Q24" s="17"/>
      <c r="R24" s="17"/>
      <c r="S24" s="17"/>
      <c r="T24" s="17"/>
      <c r="U24" s="3">
        <v>4</v>
      </c>
      <c r="V24" s="2">
        <f>+G31</f>
        <v>129</v>
      </c>
      <c r="W24" s="1">
        <f>+C31*G31</f>
        <v>-129</v>
      </c>
      <c r="X24" s="1">
        <f>+D31*G31</f>
        <v>-129</v>
      </c>
      <c r="Y24" s="1">
        <f>+C31*C31*G31</f>
        <v>129</v>
      </c>
      <c r="Z24" s="1">
        <f>+D31*D31*G31</f>
        <v>129</v>
      </c>
      <c r="AA24" s="1">
        <f>+G31*C31*D31</f>
        <v>129</v>
      </c>
      <c r="AC24">
        <f>+(G31-H31)^2</f>
        <v>0.1736111111111269</v>
      </c>
    </row>
    <row r="25" spans="1:29" ht="13.5" customHeight="1">
      <c r="A25" s="17"/>
      <c r="B25" s="279" t="s">
        <v>102</v>
      </c>
      <c r="C25" s="212">
        <v>0</v>
      </c>
      <c r="D25" s="213">
        <v>0</v>
      </c>
      <c r="E25" s="214">
        <f>I15</f>
        <v>3</v>
      </c>
      <c r="F25" s="215">
        <f>I16</f>
        <v>25</v>
      </c>
      <c r="G25" s="216">
        <v>97</v>
      </c>
      <c r="H25" s="217">
        <f t="shared" si="0"/>
        <v>96</v>
      </c>
      <c r="I25" s="17"/>
      <c r="J25" s="72" t="s">
        <v>30</v>
      </c>
      <c r="K25" s="78">
        <f>+Y33/2-V33/3</f>
        <v>-27</v>
      </c>
      <c r="L25" s="17"/>
      <c r="M25" s="17"/>
      <c r="N25" s="17"/>
      <c r="O25" s="17"/>
      <c r="P25" s="17"/>
      <c r="Q25" s="17"/>
      <c r="R25" s="17"/>
      <c r="S25" s="17"/>
      <c r="T25" s="17"/>
      <c r="U25" s="3">
        <v>5</v>
      </c>
      <c r="V25" s="2">
        <f>+G24</f>
        <v>26</v>
      </c>
      <c r="W25" s="1">
        <f>+C24*G24</f>
        <v>26</v>
      </c>
      <c r="X25" s="1">
        <f>+D24*G24</f>
        <v>0</v>
      </c>
      <c r="Y25" s="1">
        <f>+C24*C24*G24</f>
        <v>26</v>
      </c>
      <c r="Z25" s="1">
        <f>+D24*D24*G24</f>
        <v>0</v>
      </c>
      <c r="AA25" s="1">
        <f>+G24*C24*D24</f>
        <v>0</v>
      </c>
      <c r="AC25">
        <f>+(G24-H24)^2</f>
        <v>0.11111111111111269</v>
      </c>
    </row>
    <row r="26" spans="1:29" ht="13.5" customHeight="1">
      <c r="A26" s="17"/>
      <c r="B26" s="280"/>
      <c r="C26" s="218">
        <v>0</v>
      </c>
      <c r="D26" s="219">
        <v>0</v>
      </c>
      <c r="E26" s="220">
        <f>I15</f>
        <v>3</v>
      </c>
      <c r="F26" s="221">
        <f>I16</f>
        <v>25</v>
      </c>
      <c r="G26" s="222">
        <v>95</v>
      </c>
      <c r="H26" s="223">
        <f t="shared" si="0"/>
        <v>96</v>
      </c>
      <c r="I26" s="17"/>
      <c r="J26" s="72" t="s">
        <v>31</v>
      </c>
      <c r="K26" s="78">
        <f>+Z33/2-V33/3</f>
        <v>2</v>
      </c>
      <c r="L26" s="17"/>
      <c r="M26" s="17"/>
      <c r="N26" s="17"/>
      <c r="O26" s="17"/>
      <c r="P26" s="17"/>
      <c r="Q26" s="17"/>
      <c r="R26" s="17"/>
      <c r="S26" s="17"/>
      <c r="T26" s="17"/>
      <c r="U26" s="3">
        <v>6</v>
      </c>
      <c r="V26" s="2">
        <f>+G28</f>
        <v>111</v>
      </c>
      <c r="W26" s="1">
        <f>+C28*G28</f>
        <v>-111</v>
      </c>
      <c r="X26" s="1">
        <f>+D28*G28</f>
        <v>0</v>
      </c>
      <c r="Y26" s="1">
        <f>+C28*C28*G28</f>
        <v>111</v>
      </c>
      <c r="Z26" s="1">
        <f>+D28*D28*G28</f>
        <v>0</v>
      </c>
      <c r="AA26" s="1">
        <f>+G28*C28*D28</f>
        <v>0</v>
      </c>
      <c r="AC26">
        <f>+(G28-H28)^2</f>
        <v>0.4444444444444318</v>
      </c>
    </row>
    <row r="27" spans="1:29" ht="13.5" customHeight="1">
      <c r="A27" s="17"/>
      <c r="B27" s="281"/>
      <c r="C27" s="224">
        <v>0</v>
      </c>
      <c r="D27" s="225">
        <v>0</v>
      </c>
      <c r="E27" s="226">
        <f>I15</f>
        <v>3</v>
      </c>
      <c r="F27" s="227">
        <f>I16</f>
        <v>25</v>
      </c>
      <c r="G27" s="228">
        <v>99</v>
      </c>
      <c r="H27" s="229">
        <f t="shared" si="0"/>
        <v>96</v>
      </c>
      <c r="I27" s="17"/>
      <c r="J27" s="22"/>
      <c r="K27" s="79"/>
      <c r="L27" s="17"/>
      <c r="M27" s="17"/>
      <c r="N27" s="17"/>
      <c r="O27" s="17"/>
      <c r="P27" s="17"/>
      <c r="Q27" s="17"/>
      <c r="R27" s="17"/>
      <c r="S27" s="17"/>
      <c r="T27" s="17"/>
      <c r="U27" s="3">
        <v>7</v>
      </c>
      <c r="V27" s="2">
        <f>+G22</f>
        <v>85</v>
      </c>
      <c r="W27" s="1">
        <f>+C22*G22</f>
        <v>0</v>
      </c>
      <c r="X27" s="1">
        <f>+D22*G22</f>
        <v>85</v>
      </c>
      <c r="Y27" s="1">
        <f>+C22*C22*G22</f>
        <v>0</v>
      </c>
      <c r="Z27" s="1">
        <f>+D22*D22*G22</f>
        <v>85</v>
      </c>
      <c r="AA27" s="1">
        <f>+G22*C22*D22</f>
        <v>0</v>
      </c>
      <c r="AC27">
        <f>+(G22-H22)^2</f>
        <v>0.11111111111110795</v>
      </c>
    </row>
    <row r="28" spans="1:29" ht="13.5" customHeight="1" thickBot="1">
      <c r="A28" s="17"/>
      <c r="B28" s="182" t="s">
        <v>98</v>
      </c>
      <c r="C28" s="200">
        <v>-1</v>
      </c>
      <c r="D28" s="201">
        <v>0</v>
      </c>
      <c r="E28" s="202">
        <f>H15</f>
        <v>2.5</v>
      </c>
      <c r="F28" s="203">
        <f>I16</f>
        <v>25</v>
      </c>
      <c r="G28" s="204">
        <v>111</v>
      </c>
      <c r="H28" s="205">
        <f t="shared" si="0"/>
        <v>111.66666666666666</v>
      </c>
      <c r="I28" s="17"/>
      <c r="J28" s="72" t="s">
        <v>32</v>
      </c>
      <c r="K28" s="78">
        <f>+AA33/4</f>
        <v>2.25</v>
      </c>
      <c r="L28" s="17"/>
      <c r="M28" s="17"/>
      <c r="N28" s="17"/>
      <c r="O28" s="17"/>
      <c r="P28" s="17"/>
      <c r="Q28" s="17"/>
      <c r="R28" s="17"/>
      <c r="S28" s="17"/>
      <c r="T28" s="17"/>
      <c r="U28" s="3">
        <v>8</v>
      </c>
      <c r="V28" s="2">
        <f>+G30</f>
        <v>110</v>
      </c>
      <c r="W28" s="1">
        <f>+C30*G30</f>
        <v>0</v>
      </c>
      <c r="X28" s="1">
        <f>+D30*G30</f>
        <v>-110</v>
      </c>
      <c r="Y28" s="1">
        <f>+C30*C30*G30</f>
        <v>0</v>
      </c>
      <c r="Z28" s="1">
        <f>+D30*D30*G30</f>
        <v>110</v>
      </c>
      <c r="AA28" s="1">
        <f>+G30*C30*D30</f>
        <v>0</v>
      </c>
      <c r="AC28">
        <f>+(G30-H30)^2</f>
        <v>0.44444444444445075</v>
      </c>
    </row>
    <row r="29" spans="1:29" ht="13.5" customHeight="1" thickTop="1">
      <c r="A29" s="17"/>
      <c r="B29" s="184" t="s">
        <v>99</v>
      </c>
      <c r="C29" s="230">
        <v>1</v>
      </c>
      <c r="D29" s="231">
        <v>-1</v>
      </c>
      <c r="E29" s="232">
        <f>J15</f>
        <v>3.5</v>
      </c>
      <c r="F29" s="233">
        <f>H16</f>
        <v>10</v>
      </c>
      <c r="G29" s="234">
        <v>39</v>
      </c>
      <c r="H29" s="235">
        <f t="shared" si="0"/>
        <v>38.75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0">
        <v>9</v>
      </c>
      <c r="V29" s="6">
        <f>+G25</f>
        <v>97</v>
      </c>
      <c r="W29" s="6">
        <f>+C25*G25</f>
        <v>0</v>
      </c>
      <c r="X29" s="6">
        <f>+D25*G25</f>
        <v>0</v>
      </c>
      <c r="Y29" s="6">
        <f>+C25*C25*G25</f>
        <v>0</v>
      </c>
      <c r="Z29" s="6">
        <f>+D25*D25*G25</f>
        <v>0</v>
      </c>
      <c r="AA29" s="6">
        <f>+G25*C25*D25</f>
        <v>0</v>
      </c>
      <c r="AC29">
        <f>+(G25-H25)^2</f>
        <v>1</v>
      </c>
    </row>
    <row r="30" spans="1:29" ht="13.5" customHeight="1">
      <c r="A30" s="17"/>
      <c r="B30" s="185" t="s">
        <v>100</v>
      </c>
      <c r="C30" s="236">
        <v>0</v>
      </c>
      <c r="D30" s="237">
        <v>-1</v>
      </c>
      <c r="E30" s="238">
        <f>I15</f>
        <v>3</v>
      </c>
      <c r="F30" s="239">
        <f>H16</f>
        <v>10</v>
      </c>
      <c r="G30" s="240">
        <v>110</v>
      </c>
      <c r="H30" s="241">
        <f t="shared" si="0"/>
        <v>110.66666666666667</v>
      </c>
      <c r="I30" s="17"/>
      <c r="J30" s="105" t="s">
        <v>49</v>
      </c>
      <c r="K30" s="106">
        <f>MAX($D$53:$L$61)</f>
        <v>129.16666666666666</v>
      </c>
      <c r="L30" s="17"/>
      <c r="M30" s="17"/>
      <c r="N30" s="17"/>
      <c r="O30" s="17"/>
      <c r="P30" s="17"/>
      <c r="Q30" s="17"/>
      <c r="R30" s="17"/>
      <c r="S30" s="17"/>
      <c r="T30" s="17"/>
      <c r="U30" s="3">
        <v>10</v>
      </c>
      <c r="V30" s="2">
        <f>+G26</f>
        <v>95</v>
      </c>
      <c r="W30" s="2">
        <f>+C26*G26</f>
        <v>0</v>
      </c>
      <c r="X30" s="2">
        <f>+D26*G26</f>
        <v>0</v>
      </c>
      <c r="Y30" s="2">
        <f>+C26*C26*G26</f>
        <v>0</v>
      </c>
      <c r="Z30" s="2">
        <f>+D26*D26*G26</f>
        <v>0</v>
      </c>
      <c r="AA30" s="2">
        <f>+G26*C26*D26</f>
        <v>0</v>
      </c>
      <c r="AC30">
        <f>+(G26-H26)^2</f>
        <v>1</v>
      </c>
    </row>
    <row r="31" spans="1:29" ht="13.5" customHeight="1" thickBot="1">
      <c r="A31" s="17"/>
      <c r="B31" s="185" t="s">
        <v>101</v>
      </c>
      <c r="C31" s="236">
        <v>-1</v>
      </c>
      <c r="D31" s="237">
        <v>-1</v>
      </c>
      <c r="E31" s="238">
        <f>H15</f>
        <v>2.5</v>
      </c>
      <c r="F31" s="239">
        <f>H16</f>
        <v>10</v>
      </c>
      <c r="G31" s="240">
        <v>129</v>
      </c>
      <c r="H31" s="242">
        <f t="shared" si="0"/>
        <v>128.58333333333331</v>
      </c>
      <c r="I31" s="17"/>
      <c r="J31" s="105" t="s">
        <v>50</v>
      </c>
      <c r="K31" s="171">
        <f>MIN($D$53:$L$61)</f>
        <v>17.91666666666667</v>
      </c>
      <c r="L31" s="17"/>
      <c r="M31" s="17"/>
      <c r="N31" s="17"/>
      <c r="O31" s="17"/>
      <c r="P31" s="17"/>
      <c r="Q31" s="17"/>
      <c r="R31" s="17"/>
      <c r="S31" s="18"/>
      <c r="T31" s="18"/>
      <c r="U31" s="4">
        <v>11</v>
      </c>
      <c r="V31" s="2">
        <f>+G27</f>
        <v>99</v>
      </c>
      <c r="W31" s="1">
        <f>+C27*G27</f>
        <v>0</v>
      </c>
      <c r="X31" s="1">
        <f>+D27*G27</f>
        <v>0</v>
      </c>
      <c r="Y31" s="1">
        <f>+C27*C27*G27</f>
        <v>0</v>
      </c>
      <c r="Z31" s="1">
        <f>+D27*D27*G27</f>
        <v>0</v>
      </c>
      <c r="AA31" s="1">
        <f>+G27*C27*D27</f>
        <v>0</v>
      </c>
      <c r="AC31">
        <f>+(G27-H27)^2</f>
        <v>9</v>
      </c>
    </row>
    <row r="32" spans="1:27" ht="12.75" customHeight="1" thickTop="1">
      <c r="A32" s="17"/>
      <c r="B32" s="17"/>
      <c r="C32" s="17"/>
      <c r="D32" s="22" t="s">
        <v>33</v>
      </c>
      <c r="E32" s="25">
        <f>IF(AD33&gt;AD35,(AD33/AD35),(AD35/AD33))</f>
        <v>1.2886228187919446</v>
      </c>
      <c r="F32" s="22" t="s">
        <v>34</v>
      </c>
      <c r="G32" s="23">
        <f>FINV(0.05,6,2)</f>
        <v>19.32953401547175</v>
      </c>
      <c r="H32" s="17"/>
      <c r="I32" s="75"/>
      <c r="J32" s="75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4"/>
      <c r="V32" s="2"/>
      <c r="W32" s="1"/>
      <c r="X32" s="1"/>
      <c r="Y32" s="1"/>
      <c r="Z32" s="1"/>
      <c r="AA32" s="1"/>
    </row>
    <row r="33" spans="1:30" ht="12.75" customHeight="1">
      <c r="A33" s="17"/>
      <c r="B33" s="17"/>
      <c r="C33" s="17"/>
      <c r="D33" s="22"/>
      <c r="E33" s="25"/>
      <c r="F33" s="22"/>
      <c r="G33" s="2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4" t="s">
        <v>35</v>
      </c>
      <c r="V33" s="5">
        <f>+SUM(V21:V28)+AVERAGE(V29:V31)</f>
        <v>714</v>
      </c>
      <c r="W33" s="5">
        <f>+SUM(W21:W31)</f>
        <v>-256</v>
      </c>
      <c r="X33" s="5">
        <f>+SUM(X21:X31)</f>
        <v>-76</v>
      </c>
      <c r="Y33" s="5">
        <f>+SUM(Y21:Y31)</f>
        <v>422</v>
      </c>
      <c r="Z33" s="5">
        <f>+SUM(Z21:Z31)</f>
        <v>480</v>
      </c>
      <c r="AA33" s="5">
        <f>+SUM(AA21:AA31)</f>
        <v>9</v>
      </c>
      <c r="AC33" s="7" t="s">
        <v>36</v>
      </c>
      <c r="AD33" s="11">
        <f>VAR(G25:G27)+0.0001</f>
        <v>4.0001</v>
      </c>
    </row>
    <row r="34" spans="1:30" ht="12.75" customHeight="1">
      <c r="A34" s="17"/>
      <c r="B34" s="255" t="str">
        <f>IF(E32&lt;G32,"Т.к.    Fрасч &lt; Fтабл","Т.к.    Fрасч &gt; Fтабл")</f>
        <v>Т.к.    Fрасч &lt; Fтабл</v>
      </c>
      <c r="C34" s="256"/>
      <c r="D34" s="257"/>
      <c r="E34" s="62" t="s">
        <v>52</v>
      </c>
      <c r="F34" s="39"/>
      <c r="G34" s="253" t="str">
        <f>IF(G32&gt;E32,"адекватно","неадекватно")</f>
        <v>адекватно</v>
      </c>
      <c r="H34" s="254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2"/>
      <c r="V34" s="76"/>
      <c r="W34" s="76"/>
      <c r="X34" s="76"/>
      <c r="Y34" s="76"/>
      <c r="Z34" s="76"/>
      <c r="AA34" s="76"/>
      <c r="AC34" s="7"/>
      <c r="AD34" s="11"/>
    </row>
    <row r="35" spans="1:30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02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"/>
      <c r="V35" s="1"/>
      <c r="W35" s="1"/>
      <c r="AC35" s="7" t="s">
        <v>37</v>
      </c>
      <c r="AD35" s="11">
        <f>SUM(AC21:AC31)/(11-5-2)</f>
        <v>3.1041666666666705</v>
      </c>
    </row>
    <row r="36" spans="1:30" ht="12.75">
      <c r="A36" s="53"/>
      <c r="B36" s="54"/>
      <c r="C36" s="55"/>
      <c r="D36" s="55"/>
      <c r="E36" s="56"/>
      <c r="F36" s="53"/>
      <c r="G36" s="60" t="s">
        <v>38</v>
      </c>
      <c r="H36" s="57"/>
      <c r="I36" s="53"/>
      <c r="J36" s="53"/>
      <c r="K36" s="53"/>
      <c r="L36" s="53"/>
      <c r="M36" s="53"/>
      <c r="N36" s="17"/>
      <c r="O36" s="17"/>
      <c r="P36" s="17"/>
      <c r="Q36" s="17"/>
      <c r="R36" s="17"/>
      <c r="S36" s="18"/>
      <c r="T36" s="18"/>
      <c r="U36" s="1"/>
      <c r="V36" s="1"/>
      <c r="W36" s="1"/>
      <c r="AC36" s="7"/>
      <c r="AD36" s="11"/>
    </row>
    <row r="37" spans="1:30" ht="6" customHeight="1">
      <c r="A37" s="53"/>
      <c r="B37" s="54"/>
      <c r="C37" s="55"/>
      <c r="D37" s="55"/>
      <c r="E37" s="56"/>
      <c r="F37" s="58"/>
      <c r="G37" s="59"/>
      <c r="H37" s="57"/>
      <c r="I37" s="53"/>
      <c r="J37" s="53"/>
      <c r="K37" s="53"/>
      <c r="L37" s="53"/>
      <c r="M37" s="53"/>
      <c r="N37" s="17"/>
      <c r="O37" s="17"/>
      <c r="P37" s="17"/>
      <c r="Q37" s="17"/>
      <c r="R37" s="17"/>
      <c r="S37" s="18"/>
      <c r="T37" s="18"/>
      <c r="U37" s="1"/>
      <c r="V37" s="1"/>
      <c r="W37" s="1"/>
      <c r="AC37" s="7"/>
      <c r="AD37" s="11"/>
    </row>
    <row r="38" spans="1:30" ht="13.5" customHeight="1">
      <c r="A38" s="53"/>
      <c r="B38" s="54"/>
      <c r="C38" s="55"/>
      <c r="D38" s="55"/>
      <c r="E38" s="56"/>
      <c r="F38" s="58"/>
      <c r="G38" s="61" t="s">
        <v>39</v>
      </c>
      <c r="H38" s="57"/>
      <c r="I38" s="53"/>
      <c r="J38" s="53"/>
      <c r="K38" s="53"/>
      <c r="L38" s="53"/>
      <c r="M38" s="53"/>
      <c r="N38" s="17"/>
      <c r="O38" s="17"/>
      <c r="P38" s="17"/>
      <c r="Q38" s="17"/>
      <c r="R38" s="17"/>
      <c r="S38" s="18"/>
      <c r="T38" s="18"/>
      <c r="U38" s="1"/>
      <c r="V38" s="1"/>
      <c r="W38" s="1"/>
      <c r="AC38" s="7"/>
      <c r="AD38" s="11"/>
    </row>
    <row r="39" spans="1:30" ht="4.5" customHeight="1">
      <c r="A39" s="53"/>
      <c r="B39" s="54"/>
      <c r="C39" s="55"/>
      <c r="D39" s="55"/>
      <c r="E39" s="56"/>
      <c r="F39" s="58"/>
      <c r="G39" s="61"/>
      <c r="H39" s="57"/>
      <c r="I39" s="53"/>
      <c r="J39" s="53"/>
      <c r="K39" s="53"/>
      <c r="L39" s="53"/>
      <c r="M39" s="53"/>
      <c r="N39" s="17"/>
      <c r="O39" s="17"/>
      <c r="P39" s="17"/>
      <c r="Q39" s="17"/>
      <c r="R39" s="17"/>
      <c r="S39" s="18"/>
      <c r="T39" s="18"/>
      <c r="U39" s="1"/>
      <c r="V39" s="1"/>
      <c r="W39" s="1"/>
      <c r="AC39" s="7"/>
      <c r="AD39" s="11"/>
    </row>
    <row r="40" spans="1:23" ht="7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"/>
      <c r="V40" s="1"/>
      <c r="W40" s="1"/>
    </row>
    <row r="41" spans="1:23" ht="14.25">
      <c r="A41" s="17"/>
      <c r="B41" s="26"/>
      <c r="C41" s="17"/>
      <c r="D41" s="17"/>
      <c r="E41" s="26"/>
      <c r="F41" s="17"/>
      <c r="G41" s="27" t="s">
        <v>40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"/>
      <c r="V41" s="1"/>
      <c r="W41" s="1"/>
    </row>
    <row r="42" spans="1:23" ht="12.75">
      <c r="A42" s="17"/>
      <c r="B42" s="17"/>
      <c r="C42" s="17"/>
      <c r="D42" s="17"/>
      <c r="E42" s="17"/>
      <c r="F42" s="17"/>
      <c r="G42" s="27" t="s">
        <v>41</v>
      </c>
      <c r="H42" s="17"/>
      <c r="I42" s="17"/>
      <c r="J42" s="17"/>
      <c r="K42" s="28"/>
      <c r="L42" s="17"/>
      <c r="M42" s="17"/>
      <c r="N42" s="17"/>
      <c r="O42" s="17"/>
      <c r="P42" s="17"/>
      <c r="Q42" s="17"/>
      <c r="R42" s="17"/>
      <c r="S42" s="18"/>
      <c r="T42" s="18"/>
      <c r="U42" s="1"/>
      <c r="V42" s="1"/>
      <c r="W42" s="1"/>
    </row>
    <row r="43" spans="1:23" ht="13.5" thickBot="1">
      <c r="A43" s="17"/>
      <c r="B43" s="17"/>
      <c r="C43" s="17"/>
      <c r="D43" s="17"/>
      <c r="E43" s="17"/>
      <c r="F43" s="17"/>
      <c r="G43" s="27" t="s">
        <v>42</v>
      </c>
      <c r="H43" s="17"/>
      <c r="I43" s="17"/>
      <c r="J43" s="17"/>
      <c r="K43" s="28"/>
      <c r="L43" s="17"/>
      <c r="M43" s="17"/>
      <c r="N43" s="17"/>
      <c r="O43" s="17"/>
      <c r="P43" s="17"/>
      <c r="Q43" s="17"/>
      <c r="R43" s="17"/>
      <c r="S43" s="18"/>
      <c r="T43" s="18"/>
      <c r="U43" s="1"/>
      <c r="V43" s="1"/>
      <c r="W43" s="1"/>
    </row>
    <row r="44" spans="1:23" ht="14.25" thickBot="1" thickTop="1">
      <c r="A44" s="17"/>
      <c r="B44" s="65" t="s">
        <v>47</v>
      </c>
      <c r="C44" s="17"/>
      <c r="D44" s="17"/>
      <c r="E44" s="26"/>
      <c r="F44" s="17"/>
      <c r="G44" s="17"/>
      <c r="H44" s="17"/>
      <c r="I44" s="17"/>
      <c r="J44" s="17"/>
      <c r="K44" s="30" t="s">
        <v>43</v>
      </c>
      <c r="L44" s="29"/>
      <c r="M44" s="17"/>
      <c r="N44" s="17"/>
      <c r="O44" s="17"/>
      <c r="P44" s="17"/>
      <c r="Q44" s="17"/>
      <c r="R44" s="17"/>
      <c r="S44" s="18"/>
      <c r="T44" s="18"/>
      <c r="U44" s="1"/>
      <c r="V44" s="1"/>
      <c r="W44" s="1"/>
    </row>
    <row r="45" spans="1:20" ht="13.5" thickTop="1">
      <c r="A45" s="17"/>
      <c r="B45" s="152" t="s">
        <v>81</v>
      </c>
      <c r="C45" s="32"/>
      <c r="D45" s="32"/>
      <c r="E45" s="32"/>
      <c r="F45" s="252" t="str">
        <f>+B15</f>
        <v>Сода</v>
      </c>
      <c r="G45" s="268"/>
      <c r="H45" s="269"/>
      <c r="I45" s="33" t="str">
        <f>+F15</f>
        <v>%</v>
      </c>
      <c r="J45" s="41">
        <v>3</v>
      </c>
      <c r="K45" s="36" t="s">
        <v>44</v>
      </c>
      <c r="L45" s="38">
        <f>+(J45-I15)/K15</f>
        <v>0</v>
      </c>
      <c r="M45" s="17"/>
      <c r="N45" s="17"/>
      <c r="O45" s="17"/>
      <c r="P45" s="17"/>
      <c r="Q45" s="17"/>
      <c r="R45" s="17"/>
      <c r="S45" s="17"/>
      <c r="T45" s="17"/>
    </row>
    <row r="46" spans="1:20" ht="13.5" thickBot="1">
      <c r="A46" s="17"/>
      <c r="B46" s="153" t="s">
        <v>82</v>
      </c>
      <c r="C46" s="34"/>
      <c r="D46" s="34"/>
      <c r="E46" s="34"/>
      <c r="F46" s="270" t="str">
        <f>+B16</f>
        <v>Клинкер</v>
      </c>
      <c r="G46" s="271"/>
      <c r="H46" s="272"/>
      <c r="I46" s="35" t="str">
        <f>+F16</f>
        <v>%</v>
      </c>
      <c r="J46" s="42">
        <v>40</v>
      </c>
      <c r="K46" s="37" t="s">
        <v>45</v>
      </c>
      <c r="L46" s="104">
        <f>+(J46-I16)/K16</f>
        <v>1</v>
      </c>
      <c r="M46" s="40"/>
      <c r="N46" s="17"/>
      <c r="O46" s="17"/>
      <c r="P46" s="17"/>
      <c r="Q46" s="17"/>
      <c r="R46" s="17"/>
      <c r="S46" s="17"/>
      <c r="T46" s="17"/>
    </row>
    <row r="47" spans="1:20" ht="15.75" thickBot="1" thickTop="1">
      <c r="A47" s="17"/>
      <c r="B47" s="265" t="s">
        <v>91</v>
      </c>
      <c r="C47" s="266"/>
      <c r="D47" s="266"/>
      <c r="E47" s="266"/>
      <c r="F47" s="266"/>
      <c r="G47" s="266"/>
      <c r="H47" s="266"/>
      <c r="I47" s="267"/>
      <c r="J47" s="151">
        <f>+$K$20+$K$22*L45+$K$23*L46+$K$25*L45*L45+$K$26*L46*L46+$K$28*L45*L46</f>
        <v>85.33333333333333</v>
      </c>
      <c r="K47" s="31"/>
      <c r="L47" s="17"/>
      <c r="M47" s="40"/>
      <c r="N47" s="17"/>
      <c r="O47" s="17"/>
      <c r="P47" s="17"/>
      <c r="Q47" s="17"/>
      <c r="R47" s="17"/>
      <c r="S47" s="17"/>
      <c r="T47" s="17"/>
    </row>
    <row r="48" spans="1:20" ht="13.5" thickTop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.75">
      <c r="A49" s="17"/>
      <c r="B49" s="17"/>
      <c r="C49" s="17"/>
      <c r="D49" s="65" t="s">
        <v>84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3.5" thickBot="1">
      <c r="A50" s="17"/>
      <c r="B50" s="17"/>
      <c r="C50" s="17"/>
      <c r="D50" s="17"/>
      <c r="E50" s="17"/>
      <c r="F50" s="90" t="s">
        <v>55</v>
      </c>
      <c r="G50" s="89" t="str">
        <f>+B16</f>
        <v>Клинкер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4.25" thickBot="1" thickTop="1">
      <c r="A51" s="17"/>
      <c r="B51" s="142"/>
      <c r="C51" s="142"/>
      <c r="D51" s="154">
        <v>-1</v>
      </c>
      <c r="E51" s="51">
        <v>-0.75</v>
      </c>
      <c r="F51" s="51">
        <v>-0.5</v>
      </c>
      <c r="G51" s="87">
        <v>-0.25</v>
      </c>
      <c r="H51" s="155">
        <v>0</v>
      </c>
      <c r="I51" s="88" t="s">
        <v>54</v>
      </c>
      <c r="J51" s="52" t="s">
        <v>46</v>
      </c>
      <c r="K51" s="52" t="s">
        <v>57</v>
      </c>
      <c r="L51" s="156" t="s">
        <v>15</v>
      </c>
      <c r="M51" s="17"/>
      <c r="N51" s="17"/>
      <c r="O51" s="17"/>
      <c r="P51" s="17"/>
      <c r="Q51" s="17"/>
      <c r="R51" s="17"/>
      <c r="S51" s="17"/>
      <c r="T51" s="17"/>
    </row>
    <row r="52" spans="1:20" ht="12" customHeight="1" thickBot="1" thickTop="1">
      <c r="A52" s="17"/>
      <c r="B52" s="142"/>
      <c r="C52" s="143"/>
      <c r="D52" s="169">
        <f aca="true" t="shared" si="1" ref="D52:L52">+$K$16*D51+$I$16</f>
        <v>10</v>
      </c>
      <c r="E52" s="175">
        <f t="shared" si="1"/>
        <v>13.75</v>
      </c>
      <c r="F52" s="170">
        <f t="shared" si="1"/>
        <v>17.5</v>
      </c>
      <c r="G52" s="170">
        <f t="shared" si="1"/>
        <v>21.25</v>
      </c>
      <c r="H52" s="169">
        <f t="shared" si="1"/>
        <v>25</v>
      </c>
      <c r="I52" s="170">
        <f t="shared" si="1"/>
        <v>28.75</v>
      </c>
      <c r="J52" s="170">
        <f t="shared" si="1"/>
        <v>32.5</v>
      </c>
      <c r="K52" s="170">
        <f t="shared" si="1"/>
        <v>36.25</v>
      </c>
      <c r="L52" s="169">
        <f t="shared" si="1"/>
        <v>40</v>
      </c>
      <c r="M52" s="17"/>
      <c r="N52" s="17"/>
      <c r="O52" s="17"/>
      <c r="P52" s="17"/>
      <c r="Q52" s="17"/>
      <c r="R52" s="17"/>
      <c r="S52" s="17"/>
      <c r="T52" s="17"/>
    </row>
    <row r="53" spans="1:20" ht="12" customHeight="1" thickTop="1">
      <c r="A53" s="17"/>
      <c r="B53" s="157">
        <v>-1</v>
      </c>
      <c r="C53" s="186">
        <f aca="true" t="shared" si="2" ref="C53:C61">+$K$15*B53+$I$15</f>
        <v>2.5</v>
      </c>
      <c r="D53" s="160">
        <f aca="true" t="shared" si="3" ref="D53:D61">+$K$20+$K$22*B53+$K$23*$D$51+$K$25*B53*B53+$K$26*$D$51*$D$51+$K$28*B53*$D$51</f>
        <v>128.58333333333331</v>
      </c>
      <c r="E53" s="144">
        <f aca="true" t="shared" si="4" ref="E53:E61">+$K$20+$K$22*B53+$K$23*$E$51+$K$25*B53*B53+$K$26*$E$51*$E$51+$K$28*B53*$E$51</f>
        <v>123.97916666666666</v>
      </c>
      <c r="F53" s="145">
        <f aca="true" t="shared" si="5" ref="F53:F61">+$K$20+$K$22*B53+$K$23*$F$51+$K$25*B53*B53+$K$26*$F$51*$F$51+$K$28*B53*$F$51</f>
        <v>119.625</v>
      </c>
      <c r="G53" s="145">
        <f aca="true" t="shared" si="6" ref="G53:G61">+$K$20+$K$22*B53+$K$23*$G$51+$K$25*B53*B53+$K$26*$G$51*$G$51+$K$28*B53*$G$51</f>
        <v>115.52083333333331</v>
      </c>
      <c r="H53" s="163">
        <f aca="true" t="shared" si="7" ref="H53:H61">+$K$20+$K$22*B53+$K$23*$H$51+$K$25*B53*B53+$K$26*$H$51*$H$51+$K$28*B53*$H$51</f>
        <v>111.66666666666666</v>
      </c>
      <c r="I53" s="145">
        <f aca="true" t="shared" si="8" ref="I53:I61">+$K$20+$K$22*B53+$K$23*$I$51+$K$25*B53*B53+$K$26*$I$51*$I$51+$K$28*B53*$I$51</f>
        <v>108.0625</v>
      </c>
      <c r="J53" s="145">
        <f aca="true" t="shared" si="9" ref="J53:J61">+$K$20+$K$22*B53+$K$23*$J$51+$K$25*B53*B53+$K$26*$J$51*$J$51+$K$28*B53*$J$51</f>
        <v>104.70833333333331</v>
      </c>
      <c r="K53" s="145">
        <f aca="true" t="shared" si="10" ref="K53:K61">+$K$20+$K$22*B53+$K$23*$K$51+$K$25*B53*B53+$K$26*$K$51*$K$51+$K$28*B53*$K$51</f>
        <v>101.60416666666666</v>
      </c>
      <c r="L53" s="166">
        <f aca="true" t="shared" si="11" ref="L53:L61">+$K$20+$K$22*B53+$K$23*$L$51+$K$25*B53*B53+$K$26*$L$51*$L$51+$K$28*B53*$L$51</f>
        <v>98.74999999999999</v>
      </c>
      <c r="M53" s="17"/>
      <c r="N53" s="17"/>
      <c r="O53" s="17"/>
      <c r="P53" s="17"/>
      <c r="Q53" s="17"/>
      <c r="R53" s="17"/>
      <c r="S53" s="17"/>
      <c r="T53" s="17"/>
    </row>
    <row r="54" spans="1:20" ht="12" customHeight="1">
      <c r="A54" s="17"/>
      <c r="B54" s="49">
        <v>-0.75</v>
      </c>
      <c r="C54" s="187">
        <f t="shared" si="2"/>
        <v>2.625</v>
      </c>
      <c r="D54" s="146">
        <f t="shared" si="3"/>
        <v>129.16666666666666</v>
      </c>
      <c r="E54" s="144">
        <f t="shared" si="4"/>
        <v>124.703125</v>
      </c>
      <c r="F54" s="144">
        <f t="shared" si="5"/>
        <v>120.48958333333334</v>
      </c>
      <c r="G54" s="144">
        <f t="shared" si="6"/>
        <v>116.52604166666666</v>
      </c>
      <c r="H54" s="144">
        <f t="shared" si="7"/>
        <v>112.8125</v>
      </c>
      <c r="I54" s="144">
        <f t="shared" si="8"/>
        <v>109.34895833333333</v>
      </c>
      <c r="J54" s="144">
        <f t="shared" si="9"/>
        <v>106.13541666666667</v>
      </c>
      <c r="K54" s="144">
        <f t="shared" si="10"/>
        <v>103.171875</v>
      </c>
      <c r="L54" s="147">
        <f t="shared" si="11"/>
        <v>100.45833333333333</v>
      </c>
      <c r="M54" s="17"/>
      <c r="N54" s="17"/>
      <c r="O54" s="17"/>
      <c r="P54" s="17"/>
      <c r="Q54" s="17"/>
      <c r="R54" s="17"/>
      <c r="S54" s="17"/>
      <c r="T54" s="17"/>
    </row>
    <row r="55" spans="1:20" ht="12" customHeight="1">
      <c r="A55" s="17"/>
      <c r="B55" s="49">
        <v>-0.5</v>
      </c>
      <c r="C55" s="187">
        <f t="shared" si="2"/>
        <v>2.75</v>
      </c>
      <c r="D55" s="146">
        <f t="shared" si="3"/>
        <v>126.375</v>
      </c>
      <c r="E55" s="144">
        <f t="shared" si="4"/>
        <v>122.05208333333333</v>
      </c>
      <c r="F55" s="144">
        <f t="shared" si="5"/>
        <v>117.97916666666666</v>
      </c>
      <c r="G55" s="144">
        <f t="shared" si="6"/>
        <v>114.15625</v>
      </c>
      <c r="H55" s="144">
        <f t="shared" si="7"/>
        <v>110.58333333333333</v>
      </c>
      <c r="I55" s="144">
        <f t="shared" si="8"/>
        <v>107.26041666666666</v>
      </c>
      <c r="J55" s="144">
        <f t="shared" si="9"/>
        <v>104.1875</v>
      </c>
      <c r="K55" s="144">
        <f t="shared" si="10"/>
        <v>101.36458333333333</v>
      </c>
      <c r="L55" s="147">
        <f t="shared" si="11"/>
        <v>98.79166666666666</v>
      </c>
      <c r="M55" s="17"/>
      <c r="N55" s="17"/>
      <c r="O55" s="17"/>
      <c r="P55" s="17"/>
      <c r="Q55" s="17"/>
      <c r="R55" s="17"/>
      <c r="S55" s="17"/>
      <c r="T55" s="17"/>
    </row>
    <row r="56" spans="1:20" ht="12" customHeight="1">
      <c r="A56" s="17"/>
      <c r="B56" s="49">
        <v>-0.25</v>
      </c>
      <c r="C56" s="187">
        <f t="shared" si="2"/>
        <v>2.875</v>
      </c>
      <c r="D56" s="148">
        <f t="shared" si="3"/>
        <v>120.20833333333334</v>
      </c>
      <c r="E56" s="144">
        <f t="shared" si="4"/>
        <v>116.02604166666667</v>
      </c>
      <c r="F56" s="144">
        <f t="shared" si="5"/>
        <v>112.09375</v>
      </c>
      <c r="G56" s="144">
        <f t="shared" si="6"/>
        <v>108.41145833333334</v>
      </c>
      <c r="H56" s="144">
        <f t="shared" si="7"/>
        <v>104.97916666666667</v>
      </c>
      <c r="I56" s="144">
        <f t="shared" si="8"/>
        <v>101.796875</v>
      </c>
      <c r="J56" s="144">
        <f t="shared" si="9"/>
        <v>98.86458333333334</v>
      </c>
      <c r="K56" s="144">
        <f t="shared" si="10"/>
        <v>96.18229166666667</v>
      </c>
      <c r="L56" s="147">
        <f t="shared" si="11"/>
        <v>93.75</v>
      </c>
      <c r="M56" s="17"/>
      <c r="N56" s="17"/>
      <c r="O56" s="17"/>
      <c r="P56" s="17"/>
      <c r="Q56" s="17"/>
      <c r="R56" s="17"/>
      <c r="S56" s="17"/>
      <c r="T56" s="17"/>
    </row>
    <row r="57" spans="1:20" ht="12" customHeight="1">
      <c r="A57" s="48" t="s">
        <v>17</v>
      </c>
      <c r="B57" s="158">
        <v>0</v>
      </c>
      <c r="C57" s="186">
        <f t="shared" si="2"/>
        <v>3</v>
      </c>
      <c r="D57" s="161">
        <f t="shared" si="3"/>
        <v>110.66666666666667</v>
      </c>
      <c r="E57" s="144">
        <f t="shared" si="4"/>
        <v>106.625</v>
      </c>
      <c r="F57" s="144">
        <f t="shared" si="5"/>
        <v>102.83333333333333</v>
      </c>
      <c r="G57" s="144">
        <f t="shared" si="6"/>
        <v>99.29166666666667</v>
      </c>
      <c r="H57" s="164">
        <f t="shared" si="7"/>
        <v>96</v>
      </c>
      <c r="I57" s="144">
        <f t="shared" si="8"/>
        <v>92.95833333333333</v>
      </c>
      <c r="J57" s="144">
        <f t="shared" si="9"/>
        <v>90.16666666666667</v>
      </c>
      <c r="K57" s="144">
        <f t="shared" si="10"/>
        <v>87.625</v>
      </c>
      <c r="L57" s="167">
        <f t="shared" si="11"/>
        <v>85.33333333333333</v>
      </c>
      <c r="M57" s="17"/>
      <c r="N57" s="17"/>
      <c r="O57" s="17"/>
      <c r="P57" s="17"/>
      <c r="Q57" s="17"/>
      <c r="R57" s="17"/>
      <c r="S57" s="17"/>
      <c r="T57" s="17"/>
    </row>
    <row r="58" spans="1:20" ht="12" customHeight="1">
      <c r="A58" s="17"/>
      <c r="B58" s="50" t="s">
        <v>54</v>
      </c>
      <c r="C58" s="187">
        <f t="shared" si="2"/>
        <v>3.125</v>
      </c>
      <c r="D58" s="148">
        <f t="shared" si="3"/>
        <v>97.75</v>
      </c>
      <c r="E58" s="144">
        <f t="shared" si="4"/>
        <v>93.84895833333333</v>
      </c>
      <c r="F58" s="144">
        <f t="shared" si="5"/>
        <v>90.19791666666666</v>
      </c>
      <c r="G58" s="144">
        <f t="shared" si="6"/>
        <v>86.796875</v>
      </c>
      <c r="H58" s="144">
        <f t="shared" si="7"/>
        <v>83.64583333333333</v>
      </c>
      <c r="I58" s="144">
        <f t="shared" si="8"/>
        <v>80.74479166666666</v>
      </c>
      <c r="J58" s="144">
        <f t="shared" si="9"/>
        <v>78.09375</v>
      </c>
      <c r="K58" s="144">
        <f t="shared" si="10"/>
        <v>75.69270833333333</v>
      </c>
      <c r="L58" s="147">
        <f t="shared" si="11"/>
        <v>73.54166666666666</v>
      </c>
      <c r="M58" s="17"/>
      <c r="N58" s="17"/>
      <c r="O58" s="17"/>
      <c r="P58" s="17"/>
      <c r="Q58" s="17"/>
      <c r="R58" s="17"/>
      <c r="S58" s="17"/>
      <c r="T58" s="17"/>
    </row>
    <row r="59" spans="1:20" ht="12" customHeight="1">
      <c r="A59" s="17"/>
      <c r="B59" s="50" t="s">
        <v>46</v>
      </c>
      <c r="C59" s="187">
        <f t="shared" si="2"/>
        <v>3.25</v>
      </c>
      <c r="D59" s="146">
        <f t="shared" si="3"/>
        <v>81.45833333333334</v>
      </c>
      <c r="E59" s="144">
        <f t="shared" si="4"/>
        <v>77.69791666666667</v>
      </c>
      <c r="F59" s="144">
        <f t="shared" si="5"/>
        <v>74.1875</v>
      </c>
      <c r="G59" s="144">
        <f t="shared" si="6"/>
        <v>70.92708333333334</v>
      </c>
      <c r="H59" s="144">
        <f t="shared" si="7"/>
        <v>67.91666666666667</v>
      </c>
      <c r="I59" s="144">
        <f t="shared" si="8"/>
        <v>65.15625</v>
      </c>
      <c r="J59" s="144">
        <f t="shared" si="9"/>
        <v>62.64583333333334</v>
      </c>
      <c r="K59" s="144">
        <f t="shared" si="10"/>
        <v>60.38541666666667</v>
      </c>
      <c r="L59" s="147">
        <f t="shared" si="11"/>
        <v>58.37500000000001</v>
      </c>
      <c r="M59" s="17"/>
      <c r="N59" s="17"/>
      <c r="O59" s="17"/>
      <c r="P59" s="17"/>
      <c r="Q59" s="17"/>
      <c r="R59" s="17"/>
      <c r="S59" s="17"/>
      <c r="T59" s="17"/>
    </row>
    <row r="60" spans="1:20" ht="12" customHeight="1">
      <c r="A60" s="17"/>
      <c r="B60" s="50" t="s">
        <v>57</v>
      </c>
      <c r="C60" s="187">
        <f t="shared" si="2"/>
        <v>3.375</v>
      </c>
      <c r="D60" s="146">
        <f t="shared" si="3"/>
        <v>61.79166666666667</v>
      </c>
      <c r="E60" s="144">
        <f t="shared" si="4"/>
        <v>58.171875</v>
      </c>
      <c r="F60" s="144">
        <f t="shared" si="5"/>
        <v>54.80208333333333</v>
      </c>
      <c r="G60" s="144">
        <f t="shared" si="6"/>
        <v>51.68229166666667</v>
      </c>
      <c r="H60" s="144">
        <f t="shared" si="7"/>
        <v>48.8125</v>
      </c>
      <c r="I60" s="144">
        <f t="shared" si="8"/>
        <v>46.192708333333336</v>
      </c>
      <c r="J60" s="144">
        <f t="shared" si="9"/>
        <v>43.822916666666664</v>
      </c>
      <c r="K60" s="144">
        <f t="shared" si="10"/>
        <v>41.703125</v>
      </c>
      <c r="L60" s="147">
        <f t="shared" si="11"/>
        <v>39.833333333333336</v>
      </c>
      <c r="M60" s="17"/>
      <c r="N60" s="17"/>
      <c r="O60" s="17"/>
      <c r="P60" s="17"/>
      <c r="Q60" s="17"/>
      <c r="R60" s="17"/>
      <c r="S60" s="17"/>
      <c r="T60" s="17"/>
    </row>
    <row r="61" spans="1:20" ht="12" customHeight="1" thickBot="1">
      <c r="A61" s="17"/>
      <c r="B61" s="159" t="s">
        <v>15</v>
      </c>
      <c r="C61" s="186">
        <f t="shared" si="2"/>
        <v>3.5</v>
      </c>
      <c r="D61" s="162">
        <f t="shared" si="3"/>
        <v>38.75</v>
      </c>
      <c r="E61" s="149">
        <f t="shared" si="4"/>
        <v>35.270833333333336</v>
      </c>
      <c r="F61" s="149">
        <f t="shared" si="5"/>
        <v>32.04166666666667</v>
      </c>
      <c r="G61" s="149">
        <f t="shared" si="6"/>
        <v>29.0625</v>
      </c>
      <c r="H61" s="165">
        <f t="shared" si="7"/>
        <v>26.333333333333336</v>
      </c>
      <c r="I61" s="149">
        <f t="shared" si="8"/>
        <v>23.85416666666667</v>
      </c>
      <c r="J61" s="149">
        <f t="shared" si="9"/>
        <v>21.625</v>
      </c>
      <c r="K61" s="149">
        <f t="shared" si="10"/>
        <v>19.645833333333336</v>
      </c>
      <c r="L61" s="168">
        <f t="shared" si="11"/>
        <v>17.91666666666667</v>
      </c>
      <c r="M61" s="17"/>
      <c r="N61" s="17"/>
      <c r="O61" s="17"/>
      <c r="P61" s="17"/>
      <c r="Q61" s="17"/>
      <c r="R61" s="17"/>
      <c r="S61" s="17"/>
      <c r="T61" s="17"/>
    </row>
    <row r="62" spans="1:20" ht="13.5" thickTop="1">
      <c r="A62" s="89" t="str">
        <f>+B15</f>
        <v>Сода</v>
      </c>
      <c r="B62" s="17"/>
      <c r="C62" s="73"/>
      <c r="D62" s="73"/>
      <c r="E62" s="74"/>
      <c r="F62" s="74"/>
      <c r="G62" s="74"/>
      <c r="H62" s="74"/>
      <c r="I62" s="74"/>
      <c r="J62" s="17"/>
      <c r="K62" s="66" t="s">
        <v>49</v>
      </c>
      <c r="L62" s="150">
        <f>MAX($D$53:$L$61)</f>
        <v>129.16666666666666</v>
      </c>
      <c r="M62" s="67"/>
      <c r="N62" s="17"/>
      <c r="O62" s="17"/>
      <c r="P62" s="17"/>
      <c r="Q62" s="17"/>
      <c r="R62" s="17"/>
      <c r="S62" s="17"/>
      <c r="T62" s="17"/>
    </row>
    <row r="63" spans="1:20" ht="12.75">
      <c r="A63" s="17"/>
      <c r="B63" s="17"/>
      <c r="C63" s="73"/>
      <c r="D63" s="17"/>
      <c r="E63" s="17"/>
      <c r="F63" s="74"/>
      <c r="G63" s="17"/>
      <c r="H63" s="17"/>
      <c r="I63" s="74"/>
      <c r="J63" s="17"/>
      <c r="K63" s="66" t="s">
        <v>50</v>
      </c>
      <c r="L63" s="150">
        <f>MIN($D$53:$L$61)</f>
        <v>17.91666666666667</v>
      </c>
      <c r="M63" s="17"/>
      <c r="N63" s="17"/>
      <c r="O63" s="17"/>
      <c r="P63" s="17"/>
      <c r="Q63" s="17"/>
      <c r="R63" s="17"/>
      <c r="S63" s="17"/>
      <c r="T63" s="17"/>
    </row>
    <row r="64" spans="1:20" ht="12.75">
      <c r="A64" s="17"/>
      <c r="B64" s="47"/>
      <c r="C64" s="47"/>
      <c r="D64" s="17"/>
      <c r="E64" s="47"/>
      <c r="F64" s="47"/>
      <c r="G64" s="47"/>
      <c r="H64" s="47"/>
      <c r="I64" s="47"/>
      <c r="J64" s="17"/>
      <c r="K64" s="17"/>
      <c r="L64" s="66"/>
      <c r="M64" s="77"/>
      <c r="N64" s="17"/>
      <c r="O64" s="17"/>
      <c r="P64" s="17"/>
      <c r="Q64" s="17"/>
      <c r="R64" s="17"/>
      <c r="S64" s="17"/>
      <c r="T64" s="17"/>
    </row>
    <row r="65" spans="1:20" ht="12.75">
      <c r="A65" s="17"/>
      <c r="B65" s="47"/>
      <c r="C65" s="47"/>
      <c r="D65" s="17"/>
      <c r="E65" s="47"/>
      <c r="F65" s="47"/>
      <c r="G65" s="47"/>
      <c r="H65" s="47"/>
      <c r="I65" s="47"/>
      <c r="J65" s="47"/>
      <c r="K65" s="18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2.75">
      <c r="A66" s="17"/>
      <c r="B66" s="47"/>
      <c r="C66" s="47"/>
      <c r="D66" s="17"/>
      <c r="E66" s="47"/>
      <c r="F66" s="47"/>
      <c r="G66" s="47"/>
      <c r="H66" s="47"/>
      <c r="I66" s="47"/>
      <c r="J66" s="47"/>
      <c r="K66" s="18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1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2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1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</sheetData>
  <sheetProtection password="CF42" sheet="1" objects="1" scenarios="1"/>
  <mergeCells count="13">
    <mergeCell ref="J19:L19"/>
    <mergeCell ref="G13:G14"/>
    <mergeCell ref="B47:I47"/>
    <mergeCell ref="F45:H45"/>
    <mergeCell ref="F46:H46"/>
    <mergeCell ref="B19:B20"/>
    <mergeCell ref="H19:H20"/>
    <mergeCell ref="G19:G20"/>
    <mergeCell ref="B25:B27"/>
    <mergeCell ref="G34:H34"/>
    <mergeCell ref="B34:D34"/>
    <mergeCell ref="C19:D19"/>
    <mergeCell ref="E19:F19"/>
  </mergeCells>
  <printOptions/>
  <pageMargins left="0.7874015748031497" right="0.7874015748031497" top="0.5118110236220472" bottom="0.74" header="0.5118110236220472" footer="1.11"/>
  <pageSetup blackAndWhite="1" horizontalDpi="240" verticalDpi="240" orientation="portrait" paperSize="9" scale="81" r:id="rId2"/>
  <headerFooter alignWithMargins="0">
    <oddHeader>&amp;C&amp;A</oddHeader>
    <oddFooter>&amp;CСтраница &amp;P</oddFooter>
  </headerFooter>
  <rowBreaks count="1" manualBreakCount="1">
    <brk id="63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55"/>
  <sheetViews>
    <sheetView zoomScale="171" zoomScaleNormal="171" workbookViewId="0" topLeftCell="A1">
      <selection activeCell="K11" sqref="K11"/>
    </sheetView>
  </sheetViews>
  <sheetFormatPr defaultColWidth="9.00390625" defaultRowHeight="12.75"/>
  <cols>
    <col min="1" max="1" width="2.375" style="0" customWidth="1"/>
    <col min="3" max="3" width="10.875" style="0" customWidth="1"/>
    <col min="4" max="4" width="4.375" style="0" customWidth="1"/>
    <col min="11" max="11" width="10.625" style="0" customWidth="1"/>
  </cols>
  <sheetData>
    <row r="1" spans="1:16" ht="5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107"/>
      <c r="B2" s="107"/>
      <c r="C2" s="107"/>
      <c r="D2" s="107"/>
      <c r="E2" s="109"/>
      <c r="F2" s="107"/>
      <c r="G2" s="108" t="s">
        <v>58</v>
      </c>
      <c r="H2" s="107"/>
      <c r="I2" s="107"/>
      <c r="J2" s="107"/>
      <c r="K2" s="109"/>
      <c r="L2" s="109"/>
      <c r="M2" s="53"/>
      <c r="N2" s="53"/>
      <c r="O2" s="53" t="s">
        <v>59</v>
      </c>
      <c r="P2" s="53"/>
    </row>
    <row r="3" spans="1:16" ht="12.75">
      <c r="A3" s="107"/>
      <c r="B3" s="107"/>
      <c r="C3" s="107"/>
      <c r="D3" s="107"/>
      <c r="E3" s="109"/>
      <c r="F3" s="107"/>
      <c r="G3" s="108" t="s">
        <v>74</v>
      </c>
      <c r="H3" s="107"/>
      <c r="I3" s="107"/>
      <c r="J3" s="107"/>
      <c r="K3" s="109"/>
      <c r="L3" s="109"/>
      <c r="M3" s="53"/>
      <c r="N3" s="53"/>
      <c r="O3" s="53" t="s">
        <v>60</v>
      </c>
      <c r="P3" s="53"/>
    </row>
    <row r="4" spans="1:16" ht="9.75" customHeight="1">
      <c r="A4" s="53"/>
      <c r="B4" s="53"/>
      <c r="C4" s="53"/>
      <c r="D4" s="53"/>
      <c r="E4" s="53"/>
      <c r="F4" s="53"/>
      <c r="G4" s="122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3"/>
      <c r="B5" s="176" t="s">
        <v>90</v>
      </c>
      <c r="C5" s="53"/>
      <c r="D5" s="53"/>
      <c r="E5" s="14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 customHeight="1">
      <c r="A6" s="53"/>
      <c r="B6" s="176" t="s">
        <v>85</v>
      </c>
      <c r="C6" s="53"/>
      <c r="D6" s="53"/>
      <c r="E6" s="14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 customHeight="1">
      <c r="A7" s="53"/>
      <c r="B7" s="177" t="s">
        <v>86</v>
      </c>
      <c r="C7" s="53"/>
      <c r="D7" s="53"/>
      <c r="E7" s="14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5.25" customHeight="1">
      <c r="A8" s="53"/>
      <c r="B8" s="176"/>
      <c r="C8" s="53"/>
      <c r="D8" s="53"/>
      <c r="E8" s="14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 customHeight="1">
      <c r="A9" s="53"/>
      <c r="B9" s="176" t="s">
        <v>87</v>
      </c>
      <c r="C9" s="53"/>
      <c r="D9" s="53"/>
      <c r="E9" s="14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 customHeight="1">
      <c r="A10" s="53"/>
      <c r="B10" s="176" t="s">
        <v>88</v>
      </c>
      <c r="C10" s="53"/>
      <c r="D10" s="53"/>
      <c r="E10" s="14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 customHeight="1">
      <c r="A11" s="53"/>
      <c r="B11" s="176" t="s">
        <v>89</v>
      </c>
      <c r="C11" s="53"/>
      <c r="D11" s="53"/>
      <c r="E11" s="14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8.25" customHeight="1">
      <c r="A12" s="53"/>
      <c r="B12" s="53"/>
      <c r="C12" s="53"/>
      <c r="D12" s="53"/>
      <c r="E12" s="53"/>
      <c r="F12" s="53"/>
      <c r="G12" s="141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" customHeight="1" thickBot="1">
      <c r="A13" s="53"/>
      <c r="B13" s="53"/>
      <c r="C13" s="53"/>
      <c r="D13" s="53"/>
      <c r="E13" s="53"/>
      <c r="F13" s="53"/>
      <c r="G13" s="178" t="s">
        <v>73</v>
      </c>
      <c r="H13" s="53"/>
      <c r="I13" s="53"/>
      <c r="J13" s="53"/>
      <c r="K13" s="53"/>
      <c r="L13" s="53"/>
      <c r="M13" s="53"/>
      <c r="N13" s="53"/>
      <c r="O13" s="53"/>
      <c r="P13" s="53"/>
    </row>
    <row r="14" spans="1:15" ht="13.5" customHeight="1" thickBot="1">
      <c r="A14" s="53"/>
      <c r="B14" s="302" t="s">
        <v>61</v>
      </c>
      <c r="C14" s="303"/>
      <c r="D14" s="303"/>
      <c r="E14" s="303"/>
      <c r="F14" s="304"/>
      <c r="G14" s="293" t="s">
        <v>62</v>
      </c>
      <c r="H14" s="314" t="s">
        <v>11</v>
      </c>
      <c r="I14" s="315"/>
      <c r="J14" s="316"/>
      <c r="K14" s="299" t="s">
        <v>63</v>
      </c>
      <c r="L14" s="53"/>
      <c r="M14" s="53"/>
      <c r="N14" s="53"/>
      <c r="O14" s="53"/>
    </row>
    <row r="15" spans="1:15" ht="13.5" thickBot="1">
      <c r="A15" s="53"/>
      <c r="B15" s="305"/>
      <c r="C15" s="306"/>
      <c r="D15" s="306"/>
      <c r="E15" s="306"/>
      <c r="F15" s="307"/>
      <c r="G15" s="295"/>
      <c r="H15" s="110">
        <v>-1</v>
      </c>
      <c r="I15" s="111">
        <v>0</v>
      </c>
      <c r="J15" s="110">
        <v>1</v>
      </c>
      <c r="K15" s="301"/>
      <c r="L15" s="53"/>
      <c r="M15" s="53"/>
      <c r="N15" s="53"/>
      <c r="O15" s="53"/>
    </row>
    <row r="16" spans="1:15" ht="12.75">
      <c r="A16" s="53"/>
      <c r="B16" s="308" t="s">
        <v>83</v>
      </c>
      <c r="C16" s="309"/>
      <c r="D16" s="309"/>
      <c r="E16" s="309"/>
      <c r="F16" s="310"/>
      <c r="G16" s="112" t="s">
        <v>17</v>
      </c>
      <c r="H16" s="113">
        <v>198.8</v>
      </c>
      <c r="I16" s="114">
        <v>209.2</v>
      </c>
      <c r="J16" s="113">
        <v>219.7</v>
      </c>
      <c r="K16" s="112">
        <f>+(J16-H16)/2</f>
        <v>10.449999999999989</v>
      </c>
      <c r="L16" s="53"/>
      <c r="M16" s="53"/>
      <c r="N16" s="53"/>
      <c r="O16" s="53"/>
    </row>
    <row r="17" spans="1:15" ht="13.5" thickBot="1">
      <c r="A17" s="53"/>
      <c r="B17" s="311" t="s">
        <v>103</v>
      </c>
      <c r="C17" s="312"/>
      <c r="D17" s="312"/>
      <c r="E17" s="312"/>
      <c r="F17" s="313"/>
      <c r="G17" s="115" t="s">
        <v>18</v>
      </c>
      <c r="H17" s="116">
        <v>78.6</v>
      </c>
      <c r="I17" s="117">
        <v>82.8</v>
      </c>
      <c r="J17" s="116">
        <v>86.9</v>
      </c>
      <c r="K17" s="115">
        <f>+(J17-H17)/2</f>
        <v>4.150000000000006</v>
      </c>
      <c r="L17" s="53"/>
      <c r="M17" s="53"/>
      <c r="N17" s="53"/>
      <c r="O17" s="53"/>
    </row>
    <row r="18" spans="1:15" ht="17.25" customHeight="1">
      <c r="A18" s="53"/>
      <c r="B18" s="139" t="s">
        <v>78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3.5" thickBot="1">
      <c r="A19" s="53"/>
      <c r="B19" s="140" t="s">
        <v>79</v>
      </c>
      <c r="C19" s="53"/>
      <c r="D19" s="53"/>
      <c r="E19" s="123"/>
      <c r="F19" s="124"/>
      <c r="G19" s="123"/>
      <c r="H19" s="124"/>
      <c r="I19" s="53"/>
      <c r="J19" s="53"/>
      <c r="K19" s="53"/>
      <c r="L19" s="53"/>
      <c r="M19" s="53"/>
      <c r="N19" s="53"/>
      <c r="O19" s="53"/>
    </row>
    <row r="20" spans="1:15" ht="15" thickBot="1">
      <c r="A20" s="53"/>
      <c r="B20" s="118" t="s">
        <v>64</v>
      </c>
      <c r="C20" s="119">
        <v>154.2</v>
      </c>
      <c r="D20" s="53"/>
      <c r="E20" s="57"/>
      <c r="F20" s="57"/>
      <c r="G20" s="57"/>
      <c r="H20" s="122" t="s">
        <v>80</v>
      </c>
      <c r="I20" s="53"/>
      <c r="J20" s="53"/>
      <c r="K20" s="53"/>
      <c r="L20" s="53"/>
      <c r="M20" s="53"/>
      <c r="N20" s="53"/>
      <c r="O20" s="53"/>
    </row>
    <row r="21" spans="1:15" ht="14.25">
      <c r="A21" s="53"/>
      <c r="B21" s="135" t="s">
        <v>65</v>
      </c>
      <c r="C21" s="136">
        <v>-13.83</v>
      </c>
      <c r="D21" s="53"/>
      <c r="E21" s="293" t="s">
        <v>61</v>
      </c>
      <c r="F21" s="293"/>
      <c r="G21" s="293"/>
      <c r="H21" s="293" t="s">
        <v>62</v>
      </c>
      <c r="I21" s="296" t="s">
        <v>70</v>
      </c>
      <c r="J21" s="299" t="s">
        <v>71</v>
      </c>
      <c r="K21" s="290" t="s">
        <v>72</v>
      </c>
      <c r="L21" s="53"/>
      <c r="M21" s="53"/>
      <c r="N21" s="53"/>
      <c r="O21" s="53"/>
    </row>
    <row r="22" spans="1:15" ht="17.25" customHeight="1" thickBot="1">
      <c r="A22" s="53"/>
      <c r="B22" s="137" t="s">
        <v>68</v>
      </c>
      <c r="C22" s="138">
        <v>7</v>
      </c>
      <c r="D22" s="53"/>
      <c r="E22" s="294"/>
      <c r="F22" s="294"/>
      <c r="G22" s="294"/>
      <c r="H22" s="294"/>
      <c r="I22" s="297"/>
      <c r="J22" s="300"/>
      <c r="K22" s="291"/>
      <c r="L22" s="53"/>
      <c r="M22" s="53"/>
      <c r="N22" s="53"/>
      <c r="O22" s="53"/>
    </row>
    <row r="23" spans="1:15" ht="17.25" customHeight="1" thickBot="1">
      <c r="A23" s="53"/>
      <c r="B23" s="135" t="s">
        <v>66</v>
      </c>
      <c r="C23" s="136">
        <v>4.16</v>
      </c>
      <c r="D23" s="53"/>
      <c r="E23" s="295"/>
      <c r="F23" s="295"/>
      <c r="G23" s="295"/>
      <c r="H23" s="295"/>
      <c r="I23" s="298"/>
      <c r="J23" s="301"/>
      <c r="K23" s="292"/>
      <c r="L23" s="53"/>
      <c r="M23" s="53"/>
      <c r="N23" s="53"/>
      <c r="O23" s="53"/>
    </row>
    <row r="24" spans="1:15" ht="17.25" customHeight="1" thickBot="1">
      <c r="A24" s="53"/>
      <c r="B24" s="137" t="s">
        <v>69</v>
      </c>
      <c r="C24" s="138">
        <v>0.667</v>
      </c>
      <c r="D24" s="53"/>
      <c r="E24" s="282" t="str">
        <f>+B16</f>
        <v>Цемент</v>
      </c>
      <c r="F24" s="283"/>
      <c r="G24" s="284"/>
      <c r="H24" s="133" t="str">
        <f>+G16</f>
        <v>Х1</v>
      </c>
      <c r="I24" s="129">
        <v>198.8</v>
      </c>
      <c r="J24" s="120">
        <f>+(I24-I16)/K16</f>
        <v>-0.9952153110047836</v>
      </c>
      <c r="K24" s="285">
        <f>C20+C21*J24+C22*J25+C23*J24*J24+C24*J25*J25+C25*J24*J25</f>
        <v>170.061016379184</v>
      </c>
      <c r="L24" s="53"/>
      <c r="M24" s="53"/>
      <c r="N24" s="53"/>
      <c r="O24" s="53"/>
    </row>
    <row r="25" spans="1:15" ht="17.25" customHeight="1" thickBot="1">
      <c r="A25" s="53"/>
      <c r="B25" s="118" t="s">
        <v>67</v>
      </c>
      <c r="C25" s="119">
        <v>-2</v>
      </c>
      <c r="D25" s="53"/>
      <c r="E25" s="287" t="str">
        <f>+B17</f>
        <v>Перлит</v>
      </c>
      <c r="F25" s="288"/>
      <c r="G25" s="289"/>
      <c r="H25" s="134" t="str">
        <f>+G17</f>
        <v>Х2</v>
      </c>
      <c r="I25" s="130">
        <v>81.85</v>
      </c>
      <c r="J25" s="121">
        <f>+(I25-I17)/K17</f>
        <v>-0.22891566265060279</v>
      </c>
      <c r="K25" s="286"/>
      <c r="L25" s="53"/>
      <c r="M25" s="53"/>
      <c r="N25" s="53"/>
      <c r="O25" s="53"/>
    </row>
    <row r="26" spans="1:15" ht="17.25" customHeight="1">
      <c r="A26" s="53"/>
      <c r="B26" s="53"/>
      <c r="C26" s="53"/>
      <c r="D26" s="53"/>
      <c r="E26" s="122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7.25" customHeight="1">
      <c r="A27" s="53"/>
      <c r="B27" s="53"/>
      <c r="C27" s="53"/>
      <c r="D27" s="53"/>
      <c r="E27" s="53"/>
      <c r="F27" s="172"/>
      <c r="G27" s="172"/>
      <c r="H27" s="173"/>
      <c r="I27" s="53"/>
      <c r="J27" s="53"/>
      <c r="K27" s="53"/>
      <c r="L27" s="53"/>
      <c r="M27" s="53"/>
      <c r="N27" s="53"/>
      <c r="O27" s="53"/>
    </row>
    <row r="28" spans="1:15" ht="17.25" customHeight="1">
      <c r="A28" s="53"/>
      <c r="B28" s="53"/>
      <c r="C28" s="141"/>
      <c r="D28" s="141"/>
      <c r="E28" s="174"/>
      <c r="F28" s="53"/>
      <c r="G28" s="53"/>
      <c r="H28" s="131"/>
      <c r="I28" s="53"/>
      <c r="J28" s="53"/>
      <c r="K28" s="53"/>
      <c r="L28" s="53"/>
      <c r="M28" s="53"/>
      <c r="N28" s="53"/>
      <c r="O28" s="53"/>
    </row>
    <row r="29" spans="1:15" ht="17.25" customHeight="1">
      <c r="A29" s="53"/>
      <c r="B29" s="53"/>
      <c r="C29" s="53"/>
      <c r="D29" s="53"/>
      <c r="E29" s="53"/>
      <c r="F29" s="53"/>
      <c r="G29" s="53"/>
      <c r="H29" s="132"/>
      <c r="I29" s="53"/>
      <c r="J29" s="53"/>
      <c r="K29" s="53"/>
      <c r="L29" s="53"/>
      <c r="M29" s="53"/>
      <c r="N29" s="53"/>
      <c r="O29" s="53"/>
    </row>
    <row r="30" spans="1:15" ht="17.25" customHeight="1">
      <c r="A30" s="53"/>
      <c r="B30" s="53"/>
      <c r="C30" s="53"/>
      <c r="D30" s="53"/>
      <c r="E30" s="53"/>
      <c r="F30" s="53"/>
      <c r="G30" s="53"/>
      <c r="H30" s="132"/>
      <c r="I30" s="53"/>
      <c r="J30" s="53"/>
      <c r="K30" s="53"/>
      <c r="L30" s="53"/>
      <c r="M30" s="53"/>
      <c r="N30" s="53"/>
      <c r="O30" s="53"/>
    </row>
    <row r="31" spans="1:15" ht="17.25" customHeight="1">
      <c r="A31" s="53"/>
      <c r="B31" s="53"/>
      <c r="C31" s="53"/>
      <c r="D31" s="53"/>
      <c r="E31" s="122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27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</sheetData>
  <sheetProtection password="CF42" sheet="1" objects="1" scenarios="1"/>
  <mergeCells count="14">
    <mergeCell ref="K14:K15"/>
    <mergeCell ref="B14:F15"/>
    <mergeCell ref="B16:F16"/>
    <mergeCell ref="B17:F17"/>
    <mergeCell ref="H14:J14"/>
    <mergeCell ref="G14:G15"/>
    <mergeCell ref="E24:G24"/>
    <mergeCell ref="K24:K25"/>
    <mergeCell ref="E25:G25"/>
    <mergeCell ref="K21:K23"/>
    <mergeCell ref="E21:G23"/>
    <mergeCell ref="H21:H23"/>
    <mergeCell ref="I21:I23"/>
    <mergeCell ref="J21:J23"/>
  </mergeCells>
  <printOptions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 Григорьевич</dc:creator>
  <cp:keywords/>
  <dc:description/>
  <cp:lastModifiedBy>Александр</cp:lastModifiedBy>
  <cp:lastPrinted>2004-12-23T20:52:27Z</cp:lastPrinted>
  <dcterms:created xsi:type="dcterms:W3CDTF">1999-04-03T15:53:04Z</dcterms:created>
  <dcterms:modified xsi:type="dcterms:W3CDTF">2021-09-13T19:00:58Z</dcterms:modified>
  <cp:category/>
  <cp:version/>
  <cp:contentType/>
  <cp:contentStatus/>
</cp:coreProperties>
</file>